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heckCompatibility="1"/>
  <mc:AlternateContent xmlns:mc="http://schemas.openxmlformats.org/markup-compatibility/2006">
    <mc:Choice Requires="x15">
      <x15ac:absPath xmlns:x15ac="http://schemas.microsoft.com/office/spreadsheetml/2010/11/ac" url="C:\Users\tharna\Documents\Osobni\Stolni tenis\Mladez 21-22\KP\"/>
    </mc:Choice>
  </mc:AlternateContent>
  <xr:revisionPtr revIDLastSave="0" documentId="13_ncr:1_{B99A8918-D7E4-4524-AAB7-1135881ADD95}" xr6:coauthVersionLast="45" xr6:coauthVersionMax="45" xr10:uidLastSave="{00000000-0000-0000-0000-000000000000}"/>
  <bookViews>
    <workbookView xWindow="2640" yWindow="2100" windowWidth="26160" windowHeight="13440" tabRatio="793" firstSheet="2" activeTab="3" xr2:uid="{00000000-000D-0000-FFFF-FFFF00000000}"/>
  </bookViews>
  <sheets>
    <sheet name="úvod" sheetId="33" r:id="rId1"/>
    <sheet name="sez" sheetId="5" r:id="rId2"/>
    <sheet name="debl" sheetId="28" r:id="rId3"/>
    <sheet name="1.st. M" sheetId="35" r:id="rId4"/>
    <sheet name="1.st. Ž" sheetId="49" r:id="rId5"/>
    <sheet name="2.st. M" sheetId="4" r:id="rId6"/>
    <sheet name="výs 2.st M" sheetId="3" r:id="rId7"/>
    <sheet name="2.st. Ž" sheetId="51" r:id="rId8"/>
    <sheet name="výs 2st. Ž" sheetId="52" r:id="rId9"/>
    <sheet name="Z-singl" sheetId="61" r:id="rId10"/>
    <sheet name="Z-singlŽ" sheetId="65" r:id="rId11"/>
    <sheet name="T-singl" sheetId="62" r:id="rId12"/>
    <sheet name="T-singlŽ" sheetId="67" r:id="rId13"/>
    <sheet name="MIX" sheetId="12" r:id="rId14"/>
    <sheet name="výs MIX" sheetId="11" r:id="rId15"/>
    <sheet name="čt. Ž" sheetId="57" r:id="rId16"/>
    <sheet name="výs čt. Ž" sheetId="58" r:id="rId17"/>
    <sheet name="čt. M" sheetId="59" r:id="rId18"/>
    <sheet name="výs čt. M" sheetId="60" r:id="rId19"/>
    <sheet name="Z-debl" sheetId="63" r:id="rId20"/>
    <sheet name="T-debl" sheetId="64" r:id="rId21"/>
  </sheets>
  <definedNames>
    <definedName name="_xlnm.Print_Titles" localSheetId="1">sez!$1:$1</definedName>
    <definedName name="_xlnm.Print_Area" localSheetId="3">'1.st. M'!$A$1:$K$58</definedName>
    <definedName name="_xlnm.Print_Area" localSheetId="4">'1.st. Ž'!$A$1:$K$31</definedName>
    <definedName name="_xlnm.Print_Area" localSheetId="7">'2.st. Ž'!$A$1:$G$19</definedName>
    <definedName name="_xlnm.Print_Area" localSheetId="17">'čt. M'!$A$1:$H$48</definedName>
    <definedName name="_xlnm.Print_Area" localSheetId="15">'čt. Ž'!$A$1:$H$48</definedName>
    <definedName name="_xlnm.Print_Area" localSheetId="13">MIX!$A$1:$H$48</definedName>
    <definedName name="_xlnm.Print_Area" localSheetId="20">'T-debl'!$A$1:$M$53</definedName>
    <definedName name="_xlnm.Print_Area" localSheetId="11">'T-singl'!$A$1:$M$215</definedName>
    <definedName name="_xlnm.Print_Area" localSheetId="12">'T-singlŽ'!$A$1:$M$96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12" l="1"/>
  <c r="B26" i="12"/>
  <c r="B28" i="12"/>
  <c r="B30" i="12"/>
  <c r="B34" i="12"/>
  <c r="B18" i="12"/>
  <c r="B12" i="12"/>
  <c r="B10" i="12"/>
  <c r="B8" i="12"/>
  <c r="B4" i="12"/>
  <c r="A14" i="61"/>
  <c r="B14" i="61"/>
  <c r="C14" i="61"/>
  <c r="D14" i="61"/>
  <c r="E14" i="61"/>
  <c r="F14" i="61"/>
  <c r="G14" i="61"/>
  <c r="A15" i="61"/>
  <c r="B15" i="61"/>
  <c r="C15" i="61"/>
  <c r="D15" i="61"/>
  <c r="E15" i="61"/>
  <c r="F15" i="61"/>
  <c r="G15" i="61"/>
  <c r="A16" i="61"/>
  <c r="B16" i="61"/>
  <c r="C16" i="61"/>
  <c r="D16" i="61"/>
  <c r="E16" i="61"/>
  <c r="F16" i="61"/>
  <c r="G16" i="61"/>
  <c r="A17" i="61"/>
  <c r="B17" i="61"/>
  <c r="C17" i="61"/>
  <c r="D17" i="61"/>
  <c r="E17" i="61"/>
  <c r="F17" i="61"/>
  <c r="G17" i="61"/>
  <c r="A18" i="61"/>
  <c r="B18" i="61"/>
  <c r="C18" i="61"/>
  <c r="D18" i="61"/>
  <c r="E18" i="61"/>
  <c r="F18" i="61"/>
  <c r="G18" i="61"/>
  <c r="A19" i="61"/>
  <c r="B19" i="61"/>
  <c r="C19" i="61"/>
  <c r="D19" i="61"/>
  <c r="E19" i="61"/>
  <c r="F19" i="61"/>
  <c r="G19" i="61"/>
  <c r="A8" i="61"/>
  <c r="B8" i="61"/>
  <c r="C8" i="61"/>
  <c r="D8" i="61"/>
  <c r="E8" i="61"/>
  <c r="F8" i="61"/>
  <c r="G8" i="61"/>
  <c r="A9" i="61"/>
  <c r="B9" i="61"/>
  <c r="C9" i="61"/>
  <c r="D9" i="61"/>
  <c r="E9" i="61"/>
  <c r="F9" i="61"/>
  <c r="G9" i="61"/>
  <c r="A10" i="61"/>
  <c r="B10" i="61"/>
  <c r="C10" i="61"/>
  <c r="D10" i="61"/>
  <c r="E10" i="61"/>
  <c r="F10" i="61"/>
  <c r="G10" i="61"/>
  <c r="A11" i="61"/>
  <c r="B11" i="61"/>
  <c r="C11" i="61"/>
  <c r="D11" i="61"/>
  <c r="E11" i="61"/>
  <c r="F11" i="61"/>
  <c r="G11" i="61"/>
  <c r="A12" i="61"/>
  <c r="B12" i="61"/>
  <c r="C12" i="61"/>
  <c r="D12" i="61"/>
  <c r="E12" i="61"/>
  <c r="F12" i="61"/>
  <c r="G12" i="61"/>
  <c r="A13" i="61"/>
  <c r="B13" i="61"/>
  <c r="C13" i="61"/>
  <c r="D13" i="61"/>
  <c r="E13" i="61"/>
  <c r="F13" i="61"/>
  <c r="G13" i="61"/>
  <c r="A2" i="61"/>
  <c r="B2" i="61"/>
  <c r="C2" i="61"/>
  <c r="D2" i="61"/>
  <c r="E2" i="61"/>
  <c r="F2" i="61"/>
  <c r="G2" i="61"/>
  <c r="A3" i="61"/>
  <c r="B3" i="61"/>
  <c r="C3" i="61"/>
  <c r="D3" i="61"/>
  <c r="E3" i="61"/>
  <c r="F3" i="61"/>
  <c r="G3" i="61"/>
  <c r="A4" i="61"/>
  <c r="B4" i="61"/>
  <c r="C4" i="61"/>
  <c r="D4" i="61"/>
  <c r="E4" i="61"/>
  <c r="F4" i="61"/>
  <c r="G4" i="61"/>
  <c r="A5" i="61"/>
  <c r="B5" i="61"/>
  <c r="C5" i="61"/>
  <c r="D5" i="61"/>
  <c r="E5" i="61"/>
  <c r="F5" i="61"/>
  <c r="G5" i="61"/>
  <c r="A6" i="61"/>
  <c r="B6" i="61"/>
  <c r="C6" i="61"/>
  <c r="D6" i="61"/>
  <c r="E6" i="61"/>
  <c r="F6" i="61"/>
  <c r="G6" i="61"/>
  <c r="A7" i="61"/>
  <c r="B7" i="61"/>
  <c r="C7" i="61"/>
  <c r="D7" i="61"/>
  <c r="E7" i="61"/>
  <c r="F7" i="61"/>
  <c r="G7" i="61"/>
  <c r="B14" i="12" l="1"/>
  <c r="K14" i="63"/>
  <c r="M14" i="63" s="1"/>
  <c r="J14" i="63"/>
  <c r="H14" i="63"/>
  <c r="I14" i="63" s="1"/>
  <c r="G14" i="63"/>
  <c r="F14" i="63"/>
  <c r="E14" i="63"/>
  <c r="B14" i="63"/>
  <c r="D14" i="63" s="1"/>
  <c r="A14" i="63"/>
  <c r="K13" i="63"/>
  <c r="M13" i="63" s="1"/>
  <c r="H13" i="63"/>
  <c r="J13" i="63" s="1"/>
  <c r="G13" i="63"/>
  <c r="E13" i="63"/>
  <c r="F13" i="63" s="1"/>
  <c r="D13" i="63"/>
  <c r="C13" i="63"/>
  <c r="B13" i="63"/>
  <c r="A13" i="63"/>
  <c r="M12" i="63"/>
  <c r="L12" i="63"/>
  <c r="K12" i="63"/>
  <c r="H12" i="63"/>
  <c r="J12" i="63" s="1"/>
  <c r="E12" i="63"/>
  <c r="G12" i="63" s="1"/>
  <c r="D12" i="63"/>
  <c r="B12" i="63"/>
  <c r="C12" i="63" s="1"/>
  <c r="A12" i="63"/>
  <c r="M11" i="63"/>
  <c r="K11" i="63"/>
  <c r="L11" i="63" s="1"/>
  <c r="J11" i="63"/>
  <c r="I11" i="63"/>
  <c r="H11" i="63"/>
  <c r="E11" i="63"/>
  <c r="G11" i="63" s="1"/>
  <c r="B11" i="63"/>
  <c r="D11" i="63" s="1"/>
  <c r="A11" i="63"/>
  <c r="K9" i="63"/>
  <c r="M9" i="63" s="1"/>
  <c r="J9" i="63"/>
  <c r="H9" i="63"/>
  <c r="I9" i="63" s="1"/>
  <c r="B9" i="63"/>
  <c r="D9" i="63" s="1"/>
  <c r="A9" i="63"/>
  <c r="K8" i="63"/>
  <c r="M8" i="63" s="1"/>
  <c r="H8" i="63"/>
  <c r="J8" i="63" s="1"/>
  <c r="D8" i="63"/>
  <c r="C8" i="63"/>
  <c r="B8" i="63"/>
  <c r="A8" i="63"/>
  <c r="H7" i="63"/>
  <c r="J7" i="63" s="1"/>
  <c r="D7" i="63"/>
  <c r="B7" i="63"/>
  <c r="C7" i="63" s="1"/>
  <c r="A7" i="63"/>
  <c r="J6" i="63"/>
  <c r="I6" i="63"/>
  <c r="H6" i="63"/>
  <c r="E6" i="63"/>
  <c r="G6" i="63" s="1"/>
  <c r="B6" i="63"/>
  <c r="D6" i="63" s="1"/>
  <c r="A6" i="63"/>
  <c r="K5" i="63"/>
  <c r="M5" i="63" s="1"/>
  <c r="J5" i="63"/>
  <c r="H5" i="63"/>
  <c r="I5" i="63" s="1"/>
  <c r="B5" i="63"/>
  <c r="D5" i="63" s="1"/>
  <c r="A5" i="63"/>
  <c r="H4" i="63"/>
  <c r="J4" i="63" s="1"/>
  <c r="D4" i="63"/>
  <c r="C4" i="63"/>
  <c r="B4" i="63"/>
  <c r="A4" i="63"/>
  <c r="M3" i="63"/>
  <c r="L3" i="63"/>
  <c r="K3" i="63"/>
  <c r="H3" i="63"/>
  <c r="J3" i="63" s="1"/>
  <c r="D3" i="63"/>
  <c r="B3" i="63"/>
  <c r="C3" i="63" s="1"/>
  <c r="A3" i="63"/>
  <c r="J2" i="63"/>
  <c r="I2" i="63"/>
  <c r="H2" i="63"/>
  <c r="B2" i="63"/>
  <c r="D2" i="63" s="1"/>
  <c r="A2" i="63"/>
  <c r="I3" i="63" l="1"/>
  <c r="C5" i="63"/>
  <c r="F6" i="63"/>
  <c r="I7" i="63"/>
  <c r="L8" i="63"/>
  <c r="C9" i="63"/>
  <c r="F11" i="63"/>
  <c r="I12" i="63"/>
  <c r="L13" i="63"/>
  <c r="C14" i="63"/>
  <c r="C2" i="63"/>
  <c r="I4" i="63"/>
  <c r="L5" i="63"/>
  <c r="C6" i="63"/>
  <c r="I8" i="63"/>
  <c r="L9" i="63"/>
  <c r="C11" i="63"/>
  <c r="F12" i="63"/>
  <c r="I13" i="63"/>
  <c r="L14" i="63"/>
  <c r="A209" i="62"/>
  <c r="H209" i="62"/>
  <c r="H201" i="62"/>
  <c r="A201" i="62"/>
  <c r="H193" i="62"/>
  <c r="A193" i="62"/>
  <c r="A48" i="64" l="1"/>
  <c r="K39" i="64"/>
  <c r="D30" i="64"/>
  <c r="D12" i="64"/>
  <c r="K3" i="64"/>
  <c r="K21" i="64"/>
  <c r="D39" i="64"/>
  <c r="D48" i="64"/>
  <c r="H39" i="64"/>
  <c r="K48" i="64"/>
  <c r="A39" i="64"/>
  <c r="H3" i="64"/>
  <c r="K30" i="64"/>
  <c r="D3" i="64"/>
  <c r="A12" i="64"/>
  <c r="K12" i="64"/>
  <c r="D21" i="64"/>
  <c r="H21" i="64"/>
  <c r="A30" i="64"/>
  <c r="H18" i="67"/>
  <c r="M3" i="35"/>
  <c r="H89" i="67"/>
  <c r="A89" i="67"/>
  <c r="H81" i="67"/>
  <c r="A81" i="67"/>
  <c r="H73" i="67"/>
  <c r="A73" i="67"/>
  <c r="H65" i="67"/>
  <c r="A65" i="67"/>
  <c r="H57" i="67"/>
  <c r="A57" i="67"/>
  <c r="H49" i="67"/>
  <c r="A49" i="67"/>
  <c r="H41" i="67"/>
  <c r="A41" i="67"/>
  <c r="H33" i="67"/>
  <c r="A33" i="67"/>
  <c r="H25" i="67"/>
  <c r="A25" i="67"/>
  <c r="H17" i="67"/>
  <c r="A17" i="67"/>
  <c r="H9" i="67"/>
  <c r="A9" i="67"/>
  <c r="H1" i="67"/>
  <c r="A1" i="67"/>
  <c r="H185" i="62"/>
  <c r="A185" i="62"/>
  <c r="H177" i="62"/>
  <c r="A177" i="62"/>
  <c r="H169" i="62"/>
  <c r="A169" i="62"/>
  <c r="H161" i="62"/>
  <c r="A161" i="62"/>
  <c r="H153" i="62"/>
  <c r="A153" i="62"/>
  <c r="H145" i="62"/>
  <c r="A145" i="62"/>
  <c r="H137" i="62"/>
  <c r="A137" i="62"/>
  <c r="H129" i="62"/>
  <c r="A129" i="62"/>
  <c r="H121" i="62"/>
  <c r="A121" i="62"/>
  <c r="H113" i="62"/>
  <c r="A113" i="62"/>
  <c r="H105" i="62"/>
  <c r="A105" i="62"/>
  <c r="H97" i="62"/>
  <c r="A97" i="62"/>
  <c r="B40" i="61"/>
  <c r="A28" i="61"/>
  <c r="H89" i="62"/>
  <c r="A89" i="62"/>
  <c r="H81" i="62"/>
  <c r="A81" i="62"/>
  <c r="H73" i="62"/>
  <c r="A73" i="62"/>
  <c r="H65" i="62"/>
  <c r="A65" i="62"/>
  <c r="H57" i="62"/>
  <c r="A57" i="62"/>
  <c r="H49" i="62"/>
  <c r="A49" i="62"/>
  <c r="C11" i="51"/>
  <c r="D13" i="28"/>
  <c r="H28" i="28"/>
  <c r="G28" i="28"/>
  <c r="F28" i="28"/>
  <c r="E28" i="28"/>
  <c r="D28" i="28"/>
  <c r="H27" i="28"/>
  <c r="G27" i="28"/>
  <c r="F27" i="28"/>
  <c r="E27" i="28"/>
  <c r="D27" i="28"/>
  <c r="H16" i="28"/>
  <c r="G16" i="28"/>
  <c r="F16" i="28"/>
  <c r="E16" i="28"/>
  <c r="D16" i="28"/>
  <c r="H2" i="59"/>
  <c r="H2" i="57"/>
  <c r="A19" i="60"/>
  <c r="A17" i="60"/>
  <c r="A16" i="60"/>
  <c r="A12" i="60"/>
  <c r="A13" i="60"/>
  <c r="A14" i="60"/>
  <c r="A11" i="60"/>
  <c r="A3" i="60"/>
  <c r="A4" i="60"/>
  <c r="A5" i="60"/>
  <c r="A6" i="60"/>
  <c r="A7" i="60"/>
  <c r="A8" i="60"/>
  <c r="A9" i="60"/>
  <c r="A2" i="60"/>
  <c r="A10" i="58"/>
  <c r="A8" i="58"/>
  <c r="A7" i="58"/>
  <c r="A3" i="58"/>
  <c r="A4" i="58"/>
  <c r="A5" i="58"/>
  <c r="A2" i="58"/>
  <c r="A19" i="11"/>
  <c r="A17" i="11"/>
  <c r="A16" i="11"/>
  <c r="A12" i="11"/>
  <c r="A13" i="11"/>
  <c r="A14" i="11"/>
  <c r="A11" i="11"/>
  <c r="A3" i="11"/>
  <c r="A4" i="11"/>
  <c r="A5" i="11"/>
  <c r="A6" i="11"/>
  <c r="A7" i="11"/>
  <c r="A8" i="11"/>
  <c r="A9" i="11"/>
  <c r="A2" i="11"/>
  <c r="D21" i="28"/>
  <c r="E21" i="28"/>
  <c r="F21" i="28"/>
  <c r="G21" i="28"/>
  <c r="H21" i="28"/>
  <c r="D22" i="28"/>
  <c r="E22" i="28"/>
  <c r="F22" i="28"/>
  <c r="G22" i="28"/>
  <c r="H22" i="28"/>
  <c r="D23" i="28"/>
  <c r="E23" i="28"/>
  <c r="F23" i="28"/>
  <c r="G23" i="28"/>
  <c r="H23" i="28"/>
  <c r="D24" i="28"/>
  <c r="E24" i="28"/>
  <c r="F24" i="28"/>
  <c r="G24" i="28"/>
  <c r="H24" i="28"/>
  <c r="D25" i="28"/>
  <c r="E25" i="28"/>
  <c r="F25" i="28"/>
  <c r="G25" i="28"/>
  <c r="H25" i="28"/>
  <c r="D26" i="28"/>
  <c r="E26" i="28"/>
  <c r="F26" i="28"/>
  <c r="G26" i="28"/>
  <c r="H26" i="28"/>
  <c r="D31" i="28"/>
  <c r="E31" i="28"/>
  <c r="F31" i="28"/>
  <c r="G31" i="28"/>
  <c r="H31" i="28"/>
  <c r="D32" i="28"/>
  <c r="E32" i="28"/>
  <c r="F32" i="28"/>
  <c r="G32" i="28"/>
  <c r="H32" i="28"/>
  <c r="D33" i="28"/>
  <c r="E33" i="28"/>
  <c r="F33" i="28"/>
  <c r="G33" i="28"/>
  <c r="H33" i="28"/>
  <c r="D34" i="28"/>
  <c r="E34" i="28"/>
  <c r="F34" i="28"/>
  <c r="G34" i="28"/>
  <c r="H34" i="28"/>
  <c r="D35" i="28"/>
  <c r="E35" i="28"/>
  <c r="F35" i="28"/>
  <c r="G35" i="28"/>
  <c r="H35" i="28"/>
  <c r="D36" i="28"/>
  <c r="E36" i="28"/>
  <c r="F36" i="28"/>
  <c r="G36" i="28"/>
  <c r="H36" i="28"/>
  <c r="D37" i="28"/>
  <c r="E37" i="28"/>
  <c r="F37" i="28"/>
  <c r="G37" i="28"/>
  <c r="H37" i="28"/>
  <c r="D38" i="28"/>
  <c r="E38" i="28"/>
  <c r="F38" i="28"/>
  <c r="G38" i="28"/>
  <c r="H38" i="28"/>
  <c r="D39" i="28"/>
  <c r="E39" i="28"/>
  <c r="F39" i="28"/>
  <c r="G39" i="28"/>
  <c r="H39" i="28"/>
  <c r="D40" i="28"/>
  <c r="E40" i="28"/>
  <c r="F40" i="28"/>
  <c r="G40" i="28"/>
  <c r="H40" i="28"/>
  <c r="D41" i="28"/>
  <c r="E41" i="28"/>
  <c r="F41" i="28"/>
  <c r="G41" i="28"/>
  <c r="H41" i="28"/>
  <c r="D42" i="28"/>
  <c r="E42" i="28"/>
  <c r="F42" i="28"/>
  <c r="G42" i="28"/>
  <c r="H42" i="28"/>
  <c r="D43" i="28"/>
  <c r="E43" i="28"/>
  <c r="F43" i="28"/>
  <c r="G43" i="28"/>
  <c r="H43" i="28"/>
  <c r="D44" i="28"/>
  <c r="E44" i="28"/>
  <c r="F44" i="28"/>
  <c r="G44" i="28"/>
  <c r="H44" i="28"/>
  <c r="D45" i="28"/>
  <c r="E45" i="28"/>
  <c r="F45" i="28"/>
  <c r="G45" i="28"/>
  <c r="H45" i="28"/>
  <c r="A3" i="52"/>
  <c r="A4" i="52"/>
  <c r="A5" i="52"/>
  <c r="A2" i="52"/>
  <c r="A12" i="3"/>
  <c r="A13" i="3"/>
  <c r="A14" i="3"/>
  <c r="A11" i="3"/>
  <c r="A3" i="3"/>
  <c r="A4" i="3"/>
  <c r="A5" i="3"/>
  <c r="A6" i="3"/>
  <c r="A7" i="3"/>
  <c r="A8" i="3"/>
  <c r="A9" i="3"/>
  <c r="A2" i="3"/>
  <c r="C19" i="51"/>
  <c r="C17" i="51"/>
  <c r="C15" i="51"/>
  <c r="C13" i="51"/>
  <c r="C9" i="51"/>
  <c r="C7" i="51"/>
  <c r="C5" i="51"/>
  <c r="G2" i="51"/>
  <c r="H2" i="4"/>
  <c r="K2" i="49"/>
  <c r="K2" i="35"/>
  <c r="K9" i="11"/>
  <c r="M9" i="11" s="1"/>
  <c r="B32" i="12"/>
  <c r="E8" i="11"/>
  <c r="F8" i="11" s="1"/>
  <c r="C26" i="12"/>
  <c r="B24" i="12"/>
  <c r="B22" i="12"/>
  <c r="C20" i="12"/>
  <c r="K5" i="11"/>
  <c r="L5" i="11" s="1"/>
  <c r="B16" i="12"/>
  <c r="K4" i="11"/>
  <c r="L4" i="11" s="1"/>
  <c r="E4" i="11"/>
  <c r="F4" i="11" s="1"/>
  <c r="C10" i="12"/>
  <c r="E3" i="11"/>
  <c r="F3" i="11" s="1"/>
  <c r="B6" i="12"/>
  <c r="E2" i="11"/>
  <c r="G2" i="11" s="1"/>
  <c r="B4" i="57"/>
  <c r="C4" i="57" s="1"/>
  <c r="B18" i="57"/>
  <c r="B16" i="57"/>
  <c r="B14" i="57"/>
  <c r="B12" i="57"/>
  <c r="B10" i="57"/>
  <c r="C10" i="57" s="1"/>
  <c r="B8" i="57"/>
  <c r="B6" i="57"/>
  <c r="B32" i="59"/>
  <c r="B28" i="59"/>
  <c r="E8" i="63" s="1"/>
  <c r="B26" i="59"/>
  <c r="K7" i="63" s="1"/>
  <c r="B24" i="59"/>
  <c r="E7" i="63" s="1"/>
  <c r="B22" i="59"/>
  <c r="K6" i="63" s="1"/>
  <c r="B16" i="59"/>
  <c r="E5" i="63" s="1"/>
  <c r="B14" i="59"/>
  <c r="K4" i="63" s="1"/>
  <c r="B12" i="59"/>
  <c r="E4" i="63" s="1"/>
  <c r="B8" i="59"/>
  <c r="E3" i="63" s="1"/>
  <c r="B6" i="59"/>
  <c r="K2" i="63" s="1"/>
  <c r="B4" i="59"/>
  <c r="E2" i="63" s="1"/>
  <c r="H48" i="64"/>
  <c r="H47" i="64"/>
  <c r="A47" i="64"/>
  <c r="H38" i="64"/>
  <c r="A38" i="64"/>
  <c r="H30" i="64"/>
  <c r="H29" i="64"/>
  <c r="A29" i="64"/>
  <c r="A21" i="64"/>
  <c r="H20" i="64"/>
  <c r="A20" i="64"/>
  <c r="H12" i="64"/>
  <c r="H11" i="64"/>
  <c r="A11" i="64"/>
  <c r="A3" i="64"/>
  <c r="H2" i="64"/>
  <c r="A2" i="64"/>
  <c r="H46" i="64"/>
  <c r="A46" i="64"/>
  <c r="H37" i="64"/>
  <c r="A37" i="64"/>
  <c r="H28" i="64"/>
  <c r="A28" i="64"/>
  <c r="H19" i="64"/>
  <c r="A19" i="64"/>
  <c r="H10" i="64"/>
  <c r="A10" i="64"/>
  <c r="H1" i="64"/>
  <c r="A1" i="64"/>
  <c r="H41" i="62"/>
  <c r="A41" i="62"/>
  <c r="H33" i="62"/>
  <c r="A33" i="62"/>
  <c r="H25" i="62"/>
  <c r="A25" i="62"/>
  <c r="H17" i="62"/>
  <c r="A17" i="62"/>
  <c r="H9" i="62"/>
  <c r="A9" i="62"/>
  <c r="H1" i="62"/>
  <c r="A1" i="62"/>
  <c r="H2" i="12"/>
  <c r="H46" i="28"/>
  <c r="H15" i="28"/>
  <c r="H14" i="28"/>
  <c r="H9" i="28"/>
  <c r="H12" i="28"/>
  <c r="H13" i="28"/>
  <c r="H11" i="28"/>
  <c r="H10" i="28"/>
  <c r="H6" i="28"/>
  <c r="H4" i="28"/>
  <c r="H3" i="28"/>
  <c r="H1" i="28"/>
  <c r="H2" i="28"/>
  <c r="H8" i="28"/>
  <c r="H5" i="28"/>
  <c r="H7" i="28"/>
  <c r="G46" i="28"/>
  <c r="F46" i="28"/>
  <c r="E46" i="28"/>
  <c r="D46" i="28"/>
  <c r="G15" i="28"/>
  <c r="F15" i="28"/>
  <c r="E15" i="28"/>
  <c r="D15" i="28"/>
  <c r="G14" i="28"/>
  <c r="F14" i="28"/>
  <c r="E14" i="28"/>
  <c r="D14" i="28"/>
  <c r="G9" i="28"/>
  <c r="F9" i="28"/>
  <c r="E9" i="28"/>
  <c r="D9" i="28"/>
  <c r="G12" i="28"/>
  <c r="F12" i="28"/>
  <c r="E12" i="28"/>
  <c r="D12" i="28"/>
  <c r="G13" i="28"/>
  <c r="F13" i="28"/>
  <c r="E13" i="28"/>
  <c r="G11" i="28"/>
  <c r="F11" i="28"/>
  <c r="E11" i="28"/>
  <c r="D11" i="28"/>
  <c r="G10" i="28"/>
  <c r="F10" i="28"/>
  <c r="E10" i="28"/>
  <c r="D10" i="28"/>
  <c r="G6" i="28"/>
  <c r="F6" i="28"/>
  <c r="E6" i="28"/>
  <c r="D6" i="28"/>
  <c r="G4" i="28"/>
  <c r="F4" i="28"/>
  <c r="E4" i="28"/>
  <c r="D4" i="28"/>
  <c r="G3" i="28"/>
  <c r="F3" i="28"/>
  <c r="E3" i="28"/>
  <c r="D3" i="28"/>
  <c r="G1" i="28"/>
  <c r="F1" i="28"/>
  <c r="E1" i="28"/>
  <c r="D1" i="28"/>
  <c r="G2" i="28"/>
  <c r="F2" i="28"/>
  <c r="E2" i="28"/>
  <c r="D2" i="28"/>
  <c r="G8" i="28"/>
  <c r="F8" i="28"/>
  <c r="E8" i="28"/>
  <c r="D8" i="28"/>
  <c r="G5" i="28"/>
  <c r="F5" i="28"/>
  <c r="E5" i="28"/>
  <c r="D5" i="28"/>
  <c r="G7" i="28"/>
  <c r="F7" i="28"/>
  <c r="E7" i="28"/>
  <c r="D7" i="28"/>
  <c r="C34" i="4"/>
  <c r="C32" i="4"/>
  <c r="C30" i="4"/>
  <c r="C28" i="4"/>
  <c r="C26" i="4"/>
  <c r="C24" i="4"/>
  <c r="C22" i="4"/>
  <c r="C20" i="4"/>
  <c r="C18" i="4"/>
  <c r="C16" i="4"/>
  <c r="C14" i="4"/>
  <c r="C12" i="4"/>
  <c r="C10" i="4"/>
  <c r="C8" i="4"/>
  <c r="C6" i="4"/>
  <c r="C4" i="4"/>
  <c r="B1" i="4"/>
  <c r="B1" i="12" s="1"/>
  <c r="X9" i="3"/>
  <c r="W9" i="3"/>
  <c r="V9" i="3"/>
  <c r="U9" i="3"/>
  <c r="T9" i="3"/>
  <c r="X7" i="3"/>
  <c r="W7" i="3"/>
  <c r="V7" i="3"/>
  <c r="U7" i="3"/>
  <c r="T7" i="3"/>
  <c r="X8" i="3"/>
  <c r="W8" i="3"/>
  <c r="V8" i="3"/>
  <c r="U8" i="3"/>
  <c r="T8" i="3"/>
  <c r="X6" i="3"/>
  <c r="W6" i="3"/>
  <c r="V6" i="3"/>
  <c r="U6" i="3"/>
  <c r="T6" i="3"/>
  <c r="X5" i="3"/>
  <c r="W5" i="3"/>
  <c r="V5" i="3"/>
  <c r="U5" i="3"/>
  <c r="T5" i="3"/>
  <c r="X4" i="3"/>
  <c r="W4" i="3"/>
  <c r="V4" i="3"/>
  <c r="U4" i="3"/>
  <c r="T4" i="3"/>
  <c r="X3" i="3"/>
  <c r="W3" i="3"/>
  <c r="V3" i="3"/>
  <c r="U3" i="3"/>
  <c r="T3" i="3"/>
  <c r="X11" i="3"/>
  <c r="W11" i="3"/>
  <c r="V11" i="3"/>
  <c r="U11" i="3"/>
  <c r="T11" i="3"/>
  <c r="N11" i="3" s="1"/>
  <c r="X12" i="3"/>
  <c r="W12" i="3"/>
  <c r="V12" i="3"/>
  <c r="U12" i="3"/>
  <c r="T12" i="3"/>
  <c r="X13" i="3"/>
  <c r="W13" i="3"/>
  <c r="M13" i="3" s="1"/>
  <c r="V13" i="3"/>
  <c r="N13" i="3" s="1"/>
  <c r="U13" i="3"/>
  <c r="T13" i="3"/>
  <c r="X14" i="3"/>
  <c r="W14" i="3"/>
  <c r="V14" i="3"/>
  <c r="U14" i="3"/>
  <c r="T14" i="3"/>
  <c r="X17" i="3"/>
  <c r="W17" i="3"/>
  <c r="V17" i="3"/>
  <c r="U17" i="3"/>
  <c r="T17" i="3"/>
  <c r="X16" i="3"/>
  <c r="W16" i="3"/>
  <c r="V16" i="3"/>
  <c r="U16" i="3"/>
  <c r="T16" i="3"/>
  <c r="X19" i="3"/>
  <c r="W19" i="3"/>
  <c r="V19" i="3"/>
  <c r="U19" i="3"/>
  <c r="T19" i="3"/>
  <c r="X2" i="3"/>
  <c r="W2" i="3"/>
  <c r="V2" i="3"/>
  <c r="U2" i="3"/>
  <c r="T2" i="3"/>
  <c r="B2" i="3"/>
  <c r="B6" i="3"/>
  <c r="B5" i="3"/>
  <c r="D5" i="3" s="1"/>
  <c r="C5" i="3"/>
  <c r="B8" i="3"/>
  <c r="C8" i="3" s="1"/>
  <c r="B7" i="3"/>
  <c r="C7" i="3" s="1"/>
  <c r="B4" i="3"/>
  <c r="B3" i="3"/>
  <c r="D3" i="3" s="1"/>
  <c r="C3" i="3"/>
  <c r="E9" i="3"/>
  <c r="F9" i="3" s="1"/>
  <c r="B1" i="51"/>
  <c r="X3" i="52"/>
  <c r="W3" i="52"/>
  <c r="V3" i="52"/>
  <c r="U3" i="52"/>
  <c r="T3" i="52"/>
  <c r="E3" i="52"/>
  <c r="F3" i="52" s="1"/>
  <c r="X4" i="52"/>
  <c r="W4" i="52"/>
  <c r="V4" i="52"/>
  <c r="U4" i="52"/>
  <c r="N4" i="52" s="1"/>
  <c r="T4" i="52"/>
  <c r="B4" i="52"/>
  <c r="C4" i="52" s="1"/>
  <c r="X5" i="52"/>
  <c r="W5" i="52"/>
  <c r="V5" i="52"/>
  <c r="U5" i="52"/>
  <c r="T5" i="52"/>
  <c r="E5" i="52"/>
  <c r="F5" i="52" s="1"/>
  <c r="X8" i="52"/>
  <c r="W8" i="52"/>
  <c r="V8" i="52"/>
  <c r="U8" i="52"/>
  <c r="T8" i="52"/>
  <c r="X2" i="52"/>
  <c r="W2" i="52"/>
  <c r="V2" i="52"/>
  <c r="U2" i="52"/>
  <c r="T2" i="52"/>
  <c r="B2" i="52"/>
  <c r="X7" i="52"/>
  <c r="W7" i="52"/>
  <c r="V7" i="52"/>
  <c r="U7" i="52"/>
  <c r="T7" i="52"/>
  <c r="X10" i="52"/>
  <c r="W10" i="52"/>
  <c r="V10" i="52"/>
  <c r="U10" i="52"/>
  <c r="T10" i="52"/>
  <c r="C5" i="12"/>
  <c r="C7" i="12"/>
  <c r="C9" i="12"/>
  <c r="C11" i="12"/>
  <c r="C13" i="12"/>
  <c r="C15" i="12"/>
  <c r="C17" i="12"/>
  <c r="C19" i="12"/>
  <c r="C21" i="12"/>
  <c r="C23" i="12"/>
  <c r="C25" i="12"/>
  <c r="C27" i="12"/>
  <c r="C29" i="12"/>
  <c r="C31" i="12"/>
  <c r="C33" i="12"/>
  <c r="C35" i="12"/>
  <c r="C3" i="12"/>
  <c r="AF2" i="11"/>
  <c r="AE2" i="11"/>
  <c r="AD2" i="11"/>
  <c r="AC2" i="11"/>
  <c r="AB2" i="11"/>
  <c r="AF3" i="11"/>
  <c r="AE3" i="11"/>
  <c r="AD3" i="11"/>
  <c r="AC3" i="11"/>
  <c r="AB3" i="11"/>
  <c r="S3" i="11" s="1"/>
  <c r="AF9" i="11"/>
  <c r="AE9" i="11"/>
  <c r="AD9" i="11"/>
  <c r="AC9" i="11"/>
  <c r="AB9" i="11"/>
  <c r="AF8" i="11"/>
  <c r="AE8" i="11"/>
  <c r="AD8" i="11"/>
  <c r="AC8" i="11"/>
  <c r="AB8" i="11"/>
  <c r="AF7" i="11"/>
  <c r="AE7" i="11"/>
  <c r="AD7" i="11"/>
  <c r="AC7" i="11"/>
  <c r="AB7" i="11"/>
  <c r="AF6" i="11"/>
  <c r="AE6" i="11"/>
  <c r="AD6" i="11"/>
  <c r="AC6" i="11"/>
  <c r="AB6" i="11"/>
  <c r="AF5" i="11"/>
  <c r="AE5" i="11"/>
  <c r="AD5" i="11"/>
  <c r="AC5" i="11"/>
  <c r="AB5" i="11"/>
  <c r="AF4" i="11"/>
  <c r="AE4" i="11"/>
  <c r="AD4" i="11"/>
  <c r="AC4" i="11"/>
  <c r="AB4" i="11"/>
  <c r="AF14" i="11"/>
  <c r="AE14" i="11"/>
  <c r="AD14" i="11"/>
  <c r="AC14" i="11"/>
  <c r="AB14" i="11"/>
  <c r="AF13" i="11"/>
  <c r="AE13" i="11"/>
  <c r="AD13" i="11"/>
  <c r="AC13" i="11"/>
  <c r="AB13" i="11"/>
  <c r="AF12" i="11"/>
  <c r="AE12" i="11"/>
  <c r="AD12" i="11"/>
  <c r="AC12" i="11"/>
  <c r="AB12" i="11"/>
  <c r="AF11" i="11"/>
  <c r="AE11" i="11"/>
  <c r="AD11" i="11"/>
  <c r="AC11" i="11"/>
  <c r="AB11" i="11"/>
  <c r="AF16" i="11"/>
  <c r="AE16" i="11"/>
  <c r="AD16" i="11"/>
  <c r="AC16" i="11"/>
  <c r="AB16" i="11"/>
  <c r="AF17" i="11"/>
  <c r="AE17" i="11"/>
  <c r="AD17" i="11"/>
  <c r="AC17" i="11"/>
  <c r="AB17" i="11"/>
  <c r="T17" i="11" s="1"/>
  <c r="AF19" i="11"/>
  <c r="AE19" i="11"/>
  <c r="AD19" i="11"/>
  <c r="AC19" i="11"/>
  <c r="AB19" i="11"/>
  <c r="H3" i="11"/>
  <c r="I3" i="11" s="1"/>
  <c r="B7" i="11"/>
  <c r="C7" i="11"/>
  <c r="H5" i="11"/>
  <c r="I5" i="11" s="1"/>
  <c r="B8" i="11"/>
  <c r="C8" i="11" s="1"/>
  <c r="H4" i="11"/>
  <c r="J4" i="11" s="1"/>
  <c r="C5" i="59"/>
  <c r="C7" i="59"/>
  <c r="C9" i="59"/>
  <c r="C11" i="59"/>
  <c r="C13" i="59"/>
  <c r="C15" i="59"/>
  <c r="C17" i="59"/>
  <c r="C19" i="59"/>
  <c r="C21" i="59"/>
  <c r="C23" i="59"/>
  <c r="C25" i="59"/>
  <c r="C27" i="59"/>
  <c r="C29" i="59"/>
  <c r="C31" i="59"/>
  <c r="C33" i="59"/>
  <c r="C35" i="59"/>
  <c r="C3" i="59"/>
  <c r="AF4" i="60"/>
  <c r="AE4" i="60"/>
  <c r="AD4" i="60"/>
  <c r="T4" i="60" s="1"/>
  <c r="AC4" i="60"/>
  <c r="AB4" i="60"/>
  <c r="B4" i="60"/>
  <c r="C4" i="60"/>
  <c r="AF8" i="60"/>
  <c r="AE8" i="60"/>
  <c r="AD8" i="60"/>
  <c r="AC8" i="60"/>
  <c r="AB8" i="60"/>
  <c r="H8" i="60"/>
  <c r="AF5" i="60"/>
  <c r="AE5" i="60"/>
  <c r="AD5" i="60"/>
  <c r="AC5" i="60"/>
  <c r="AB5" i="60"/>
  <c r="H5" i="60"/>
  <c r="I5" i="60" s="1"/>
  <c r="AF12" i="60"/>
  <c r="AE12" i="60"/>
  <c r="AD12" i="60"/>
  <c r="AC12" i="60"/>
  <c r="AB12" i="60"/>
  <c r="AF7" i="60"/>
  <c r="AE7" i="60"/>
  <c r="AD7" i="60"/>
  <c r="AC7" i="60"/>
  <c r="AB7" i="60"/>
  <c r="B7" i="60"/>
  <c r="C7" i="60"/>
  <c r="AF13" i="60"/>
  <c r="AE13" i="60"/>
  <c r="AD13" i="60"/>
  <c r="AC13" i="60"/>
  <c r="AB13" i="60"/>
  <c r="B6" i="60"/>
  <c r="D6" i="60" s="1"/>
  <c r="C6" i="60"/>
  <c r="AF6" i="60"/>
  <c r="AE6" i="60"/>
  <c r="AD6" i="60"/>
  <c r="AC6" i="60"/>
  <c r="AB6" i="60"/>
  <c r="AF14" i="60"/>
  <c r="AE14" i="60"/>
  <c r="AD14" i="60"/>
  <c r="AC14" i="60"/>
  <c r="AB14" i="60"/>
  <c r="H9" i="60"/>
  <c r="J9" i="60" s="1"/>
  <c r="AF9" i="60"/>
  <c r="AE9" i="60"/>
  <c r="AD9" i="60"/>
  <c r="AC9" i="60"/>
  <c r="AB9" i="60"/>
  <c r="AF3" i="60"/>
  <c r="AE3" i="60"/>
  <c r="AD3" i="60"/>
  <c r="AC3" i="60"/>
  <c r="T3" i="60" s="1"/>
  <c r="AB3" i="60"/>
  <c r="H3" i="60"/>
  <c r="J3" i="60" s="1"/>
  <c r="AF17" i="60"/>
  <c r="AE17" i="60"/>
  <c r="AD17" i="60"/>
  <c r="AC17" i="60"/>
  <c r="AB17" i="60"/>
  <c r="AF19" i="60"/>
  <c r="AE19" i="60"/>
  <c r="AD19" i="60"/>
  <c r="AC19" i="60"/>
  <c r="AB19" i="60"/>
  <c r="AF2" i="60"/>
  <c r="AE2" i="60"/>
  <c r="AD2" i="60"/>
  <c r="AC2" i="60"/>
  <c r="AB2" i="60"/>
  <c r="AF11" i="60"/>
  <c r="AE11" i="60"/>
  <c r="AD11" i="60"/>
  <c r="AC11" i="60"/>
  <c r="AB11" i="60"/>
  <c r="AF16" i="60"/>
  <c r="AE16" i="60"/>
  <c r="AD16" i="60"/>
  <c r="AC16" i="60"/>
  <c r="AB16" i="60"/>
  <c r="C9" i="33"/>
  <c r="C5" i="57"/>
  <c r="C7" i="57"/>
  <c r="C9" i="57"/>
  <c r="C11" i="57"/>
  <c r="C13" i="57"/>
  <c r="C15" i="57"/>
  <c r="C17" i="57"/>
  <c r="C19" i="57"/>
  <c r="C3" i="57"/>
  <c r="AF2" i="58"/>
  <c r="AE2" i="58"/>
  <c r="AD2" i="58"/>
  <c r="AC2" i="58"/>
  <c r="AB2" i="58"/>
  <c r="AF3" i="58"/>
  <c r="AE3" i="58"/>
  <c r="AD3" i="58"/>
  <c r="AC3" i="58"/>
  <c r="AB3" i="58"/>
  <c r="AF5" i="58"/>
  <c r="AE5" i="58"/>
  <c r="AD5" i="58"/>
  <c r="S5" i="58" s="1"/>
  <c r="AC5" i="58"/>
  <c r="AB5" i="58"/>
  <c r="AF4" i="58"/>
  <c r="AE4" i="58"/>
  <c r="AD4" i="58"/>
  <c r="AC4" i="58"/>
  <c r="AB4" i="58"/>
  <c r="AF8" i="58"/>
  <c r="AE8" i="58"/>
  <c r="AD8" i="58"/>
  <c r="AC8" i="58"/>
  <c r="AB8" i="58"/>
  <c r="AF7" i="58"/>
  <c r="AE7" i="58"/>
  <c r="AD7" i="58"/>
  <c r="AC7" i="58"/>
  <c r="AB7" i="58"/>
  <c r="AF10" i="58"/>
  <c r="AE10" i="58"/>
  <c r="AD10" i="58"/>
  <c r="S10" i="58" s="1"/>
  <c r="AC10" i="58"/>
  <c r="AB10" i="58"/>
  <c r="B4" i="58"/>
  <c r="C4" i="58" s="1"/>
  <c r="B3" i="58"/>
  <c r="D3" i="58" s="1"/>
  <c r="B2" i="11"/>
  <c r="D2" i="11" s="1"/>
  <c r="H2" i="11"/>
  <c r="J2" i="11" s="1"/>
  <c r="B6" i="11"/>
  <c r="C6" i="11" s="1"/>
  <c r="B4" i="11"/>
  <c r="B3" i="11"/>
  <c r="C3" i="11" s="1"/>
  <c r="B5" i="11"/>
  <c r="D5" i="11" s="1"/>
  <c r="B9" i="11"/>
  <c r="D9" i="11"/>
  <c r="H7" i="11"/>
  <c r="J7" i="11" s="1"/>
  <c r="H9" i="11"/>
  <c r="J9" i="11" s="1"/>
  <c r="H8" i="11"/>
  <c r="I8" i="11" s="1"/>
  <c r="H6" i="11"/>
  <c r="J6" i="11" s="1"/>
  <c r="B29" i="49"/>
  <c r="B28" i="49"/>
  <c r="B27" i="49"/>
  <c r="B26" i="49"/>
  <c r="B22" i="49"/>
  <c r="B21" i="49"/>
  <c r="B20" i="49"/>
  <c r="B19" i="49"/>
  <c r="B15" i="49"/>
  <c r="B14" i="49"/>
  <c r="B13" i="49"/>
  <c r="B12" i="49"/>
  <c r="B8" i="49"/>
  <c r="B7" i="49"/>
  <c r="B6" i="49"/>
  <c r="B5" i="49"/>
  <c r="AL30" i="49"/>
  <c r="AK30" i="49"/>
  <c r="AJ30" i="49"/>
  <c r="AI30" i="49"/>
  <c r="AH30" i="49"/>
  <c r="AL29" i="49"/>
  <c r="AK29" i="49"/>
  <c r="AJ29" i="49"/>
  <c r="AI29" i="49"/>
  <c r="AH29" i="49"/>
  <c r="AL28" i="49"/>
  <c r="AK28" i="49"/>
  <c r="AJ28" i="49"/>
  <c r="AI28" i="49"/>
  <c r="AH28" i="49"/>
  <c r="AL27" i="49"/>
  <c r="AK27" i="49"/>
  <c r="AJ27" i="49"/>
  <c r="AI27" i="49"/>
  <c r="AH27" i="49"/>
  <c r="AL26" i="49"/>
  <c r="AK26" i="49"/>
  <c r="AJ26" i="49"/>
  <c r="AI26" i="49"/>
  <c r="Y26" i="49" s="1"/>
  <c r="AH26" i="49"/>
  <c r="AL25" i="49"/>
  <c r="AK25" i="49"/>
  <c r="AJ25" i="49"/>
  <c r="AI25" i="49"/>
  <c r="Y25" i="49" s="1"/>
  <c r="AH25" i="49"/>
  <c r="AL23" i="49"/>
  <c r="AK23" i="49"/>
  <c r="AJ23" i="49"/>
  <c r="AI23" i="49"/>
  <c r="AH23" i="49"/>
  <c r="AL22" i="49"/>
  <c r="AK22" i="49"/>
  <c r="AJ22" i="49"/>
  <c r="AI22" i="49"/>
  <c r="AH22" i="49"/>
  <c r="AL21" i="49"/>
  <c r="AK21" i="49"/>
  <c r="AJ21" i="49"/>
  <c r="AI21" i="49"/>
  <c r="AH21" i="49"/>
  <c r="AL20" i="49"/>
  <c r="AK20" i="49"/>
  <c r="AJ20" i="49"/>
  <c r="AI20" i="49"/>
  <c r="AH20" i="49"/>
  <c r="AL19" i="49"/>
  <c r="AK19" i="49"/>
  <c r="AJ19" i="49"/>
  <c r="AI19" i="49"/>
  <c r="AH19" i="49"/>
  <c r="AL18" i="49"/>
  <c r="AK18" i="49"/>
  <c r="AJ18" i="49"/>
  <c r="AI18" i="49"/>
  <c r="AH18" i="49"/>
  <c r="AL16" i="49"/>
  <c r="AK16" i="49"/>
  <c r="AJ16" i="49"/>
  <c r="AI16" i="49"/>
  <c r="AH16" i="49"/>
  <c r="AL15" i="49"/>
  <c r="AK15" i="49"/>
  <c r="AJ15" i="49"/>
  <c r="AI15" i="49"/>
  <c r="AH15" i="49"/>
  <c r="AL14" i="49"/>
  <c r="AK14" i="49"/>
  <c r="AJ14" i="49"/>
  <c r="AI14" i="49"/>
  <c r="AH14" i="49"/>
  <c r="Y14" i="49" s="1"/>
  <c r="AL13" i="49"/>
  <c r="AK13" i="49"/>
  <c r="AJ13" i="49"/>
  <c r="AI13" i="49"/>
  <c r="AH13" i="49"/>
  <c r="AL12" i="49"/>
  <c r="AK12" i="49"/>
  <c r="AJ12" i="49"/>
  <c r="AI12" i="49"/>
  <c r="AH12" i="49"/>
  <c r="AL11" i="49"/>
  <c r="AK11" i="49"/>
  <c r="AJ11" i="49"/>
  <c r="AI11" i="49"/>
  <c r="AH11" i="49"/>
  <c r="AL9" i="49"/>
  <c r="AK9" i="49"/>
  <c r="AJ9" i="49"/>
  <c r="AI9" i="49"/>
  <c r="AH9" i="49"/>
  <c r="Z9" i="49" s="1"/>
  <c r="AL8" i="49"/>
  <c r="AK8" i="49"/>
  <c r="AJ8" i="49"/>
  <c r="AI8" i="49"/>
  <c r="Z8" i="49" s="1"/>
  <c r="AH8" i="49"/>
  <c r="AL7" i="49"/>
  <c r="AK7" i="49"/>
  <c r="AJ7" i="49"/>
  <c r="AI7" i="49"/>
  <c r="AH7" i="49"/>
  <c r="AL6" i="49"/>
  <c r="AK6" i="49"/>
  <c r="AJ6" i="49"/>
  <c r="AI6" i="49"/>
  <c r="AH6" i="49"/>
  <c r="AL5" i="49"/>
  <c r="AK5" i="49"/>
  <c r="AJ5" i="49"/>
  <c r="AI5" i="49"/>
  <c r="AH5" i="49"/>
  <c r="AL4" i="49"/>
  <c r="AK4" i="49"/>
  <c r="AJ4" i="49"/>
  <c r="AI4" i="49"/>
  <c r="AH4" i="49"/>
  <c r="M24" i="49"/>
  <c r="M28" i="49" s="1"/>
  <c r="A23" i="65" s="1"/>
  <c r="H82" i="67" s="1"/>
  <c r="M17" i="49"/>
  <c r="M21" i="49" s="1"/>
  <c r="A17" i="65" s="1"/>
  <c r="H58" i="67" s="1"/>
  <c r="M10" i="49"/>
  <c r="M3" i="49"/>
  <c r="M9" i="49" s="1"/>
  <c r="A7" i="65" s="1"/>
  <c r="AN29" i="49"/>
  <c r="N25" i="49"/>
  <c r="B20" i="65" s="1"/>
  <c r="Q25" i="49"/>
  <c r="S25" i="49" s="1"/>
  <c r="G20" i="65" s="1"/>
  <c r="N26" i="49"/>
  <c r="B21" i="65" s="1"/>
  <c r="Q26" i="49"/>
  <c r="E21" i="65" s="1"/>
  <c r="N27" i="49"/>
  <c r="B22" i="65" s="1"/>
  <c r="Q27" i="49"/>
  <c r="N28" i="49"/>
  <c r="B23" i="65" s="1"/>
  <c r="Q28" i="49"/>
  <c r="N29" i="49"/>
  <c r="B24" i="65" s="1"/>
  <c r="O29" i="49"/>
  <c r="C24" i="65" s="1"/>
  <c r="Q29" i="49"/>
  <c r="E24" i="65" s="1"/>
  <c r="N30" i="49"/>
  <c r="B25" i="65" s="1"/>
  <c r="O30" i="49"/>
  <c r="Q30" i="49"/>
  <c r="E25" i="65" s="1"/>
  <c r="AN27" i="49"/>
  <c r="AN25" i="49"/>
  <c r="AN22" i="49"/>
  <c r="N18" i="49"/>
  <c r="Q18" i="49"/>
  <c r="R18" i="49" s="1"/>
  <c r="F14" i="65" s="1"/>
  <c r="N19" i="49"/>
  <c r="O19" i="49" s="1"/>
  <c r="C15" i="65" s="1"/>
  <c r="Q19" i="49"/>
  <c r="E15" i="65" s="1"/>
  <c r="N20" i="49"/>
  <c r="Q20" i="49"/>
  <c r="E16" i="65" s="1"/>
  <c r="N21" i="49"/>
  <c r="B17" i="65" s="1"/>
  <c r="O21" i="49"/>
  <c r="C17" i="65" s="1"/>
  <c r="Q21" i="49"/>
  <c r="E17" i="65" s="1"/>
  <c r="N22" i="49"/>
  <c r="B18" i="65" s="1"/>
  <c r="O22" i="49"/>
  <c r="C18" i="65" s="1"/>
  <c r="Q22" i="49"/>
  <c r="E18" i="65" s="1"/>
  <c r="N23" i="49"/>
  <c r="P23" i="49" s="1"/>
  <c r="D19" i="65" s="1"/>
  <c r="O23" i="49"/>
  <c r="C19" i="65" s="1"/>
  <c r="Q23" i="49"/>
  <c r="E19" i="65" s="1"/>
  <c r="AN20" i="49"/>
  <c r="AN18" i="49"/>
  <c r="AN15" i="49"/>
  <c r="N11" i="49"/>
  <c r="B8" i="65" s="1"/>
  <c r="Q11" i="49"/>
  <c r="E8" i="65" s="1"/>
  <c r="N12" i="49"/>
  <c r="B9" i="65" s="1"/>
  <c r="Q12" i="49"/>
  <c r="E9" i="65" s="1"/>
  <c r="N13" i="49"/>
  <c r="B10" i="65" s="1"/>
  <c r="P13" i="49"/>
  <c r="D10" i="65" s="1"/>
  <c r="Q13" i="49"/>
  <c r="E10" i="65" s="1"/>
  <c r="N14" i="49"/>
  <c r="P14" i="49" s="1"/>
  <c r="D11" i="65" s="1"/>
  <c r="Q14" i="49"/>
  <c r="N15" i="49"/>
  <c r="B12" i="65" s="1"/>
  <c r="Q15" i="49"/>
  <c r="S15" i="49" s="1"/>
  <c r="G12" i="65" s="1"/>
  <c r="N16" i="49"/>
  <c r="P16" i="49" s="1"/>
  <c r="D13" i="65" s="1"/>
  <c r="Q16" i="49"/>
  <c r="S16" i="49" s="1"/>
  <c r="G13" i="65" s="1"/>
  <c r="AN13" i="49"/>
  <c r="AN11" i="49"/>
  <c r="AN4" i="49"/>
  <c r="A1" i="49"/>
  <c r="Q9" i="49"/>
  <c r="R9" i="49" s="1"/>
  <c r="F7" i="65" s="1"/>
  <c r="Q8" i="49"/>
  <c r="E6" i="65" s="1"/>
  <c r="Q7" i="49"/>
  <c r="E5" i="65" s="1"/>
  <c r="Q6" i="49"/>
  <c r="E4" i="65" s="1"/>
  <c r="Q5" i="49"/>
  <c r="E3" i="65" s="1"/>
  <c r="Q4" i="49"/>
  <c r="E2" i="65" s="1"/>
  <c r="N9" i="49"/>
  <c r="B7" i="65" s="1"/>
  <c r="N8" i="49"/>
  <c r="B6" i="65" s="1"/>
  <c r="N7" i="49"/>
  <c r="B5" i="65" s="1"/>
  <c r="N6" i="49"/>
  <c r="B4" i="65" s="1"/>
  <c r="N5" i="49"/>
  <c r="O5" i="49" s="1"/>
  <c r="N4" i="49"/>
  <c r="P4" i="49" s="1"/>
  <c r="D2" i="65" s="1"/>
  <c r="AN6" i="49"/>
  <c r="AF4" i="49"/>
  <c r="AE6" i="49"/>
  <c r="AF8" i="49"/>
  <c r="AN8" i="49"/>
  <c r="AF6" i="49"/>
  <c r="AE8" i="49"/>
  <c r="AE4" i="49"/>
  <c r="B57" i="35"/>
  <c r="B56" i="35"/>
  <c r="B55" i="35"/>
  <c r="B54" i="35"/>
  <c r="B50" i="35"/>
  <c r="B49" i="35"/>
  <c r="B48" i="35"/>
  <c r="B47" i="35"/>
  <c r="B43" i="35"/>
  <c r="B42" i="35"/>
  <c r="B41" i="35"/>
  <c r="B40" i="35"/>
  <c r="B36" i="35"/>
  <c r="B35" i="35"/>
  <c r="B34" i="35"/>
  <c r="B33" i="35"/>
  <c r="B29" i="35"/>
  <c r="B28" i="35"/>
  <c r="B27" i="35"/>
  <c r="B26" i="35"/>
  <c r="B22" i="35"/>
  <c r="B21" i="35"/>
  <c r="B20" i="35"/>
  <c r="B19" i="35"/>
  <c r="B15" i="35"/>
  <c r="B14" i="35"/>
  <c r="B13" i="35"/>
  <c r="B12" i="35"/>
  <c r="B8" i="35"/>
  <c r="B7" i="35"/>
  <c r="B6" i="35"/>
  <c r="B5" i="35"/>
  <c r="AL58" i="35"/>
  <c r="AK58" i="35"/>
  <c r="AJ58" i="35"/>
  <c r="AI58" i="35"/>
  <c r="Y58" i="35" s="1"/>
  <c r="AH58" i="35"/>
  <c r="AL57" i="35"/>
  <c r="AK57" i="35"/>
  <c r="AJ57" i="35"/>
  <c r="Z57" i="35" s="1"/>
  <c r="AI57" i="35"/>
  <c r="AH57" i="35"/>
  <c r="AL56" i="35"/>
  <c r="AK56" i="35"/>
  <c r="AJ56" i="35"/>
  <c r="AI56" i="35"/>
  <c r="AH56" i="35"/>
  <c r="Y56" i="35" s="1"/>
  <c r="AL55" i="35"/>
  <c r="AK55" i="35"/>
  <c r="AJ55" i="35"/>
  <c r="AI55" i="35"/>
  <c r="AH55" i="35"/>
  <c r="Y55" i="35" s="1"/>
  <c r="AL54" i="35"/>
  <c r="AK54" i="35"/>
  <c r="AJ54" i="35"/>
  <c r="AI54" i="35"/>
  <c r="Y54" i="35" s="1"/>
  <c r="AH54" i="35"/>
  <c r="AL53" i="35"/>
  <c r="AK53" i="35"/>
  <c r="AJ53" i="35"/>
  <c r="AI53" i="35"/>
  <c r="AH53" i="35"/>
  <c r="AL51" i="35"/>
  <c r="AK51" i="35"/>
  <c r="AJ51" i="35"/>
  <c r="AI51" i="35"/>
  <c r="AH51" i="35"/>
  <c r="AL50" i="35"/>
  <c r="AK50" i="35"/>
  <c r="AJ50" i="35"/>
  <c r="AI50" i="35"/>
  <c r="AH50" i="35"/>
  <c r="Y50" i="35" s="1"/>
  <c r="AL49" i="35"/>
  <c r="AK49" i="35"/>
  <c r="AJ49" i="35"/>
  <c r="AI49" i="35"/>
  <c r="AH49" i="35"/>
  <c r="Y49" i="35" s="1"/>
  <c r="AL48" i="35"/>
  <c r="AK48" i="35"/>
  <c r="AJ48" i="35"/>
  <c r="AI48" i="35"/>
  <c r="AH48" i="35"/>
  <c r="AL47" i="35"/>
  <c r="AK47" i="35"/>
  <c r="AJ47" i="35"/>
  <c r="AI47" i="35"/>
  <c r="AH47" i="35"/>
  <c r="AL46" i="35"/>
  <c r="AK46" i="35"/>
  <c r="AJ46" i="35"/>
  <c r="AI46" i="35"/>
  <c r="Z46" i="35" s="1"/>
  <c r="AH46" i="35"/>
  <c r="AL44" i="35"/>
  <c r="AK44" i="35"/>
  <c r="AJ44" i="35"/>
  <c r="AI44" i="35"/>
  <c r="AH44" i="35"/>
  <c r="AL43" i="35"/>
  <c r="AK43" i="35"/>
  <c r="AJ43" i="35"/>
  <c r="AI43" i="35"/>
  <c r="AH43" i="35"/>
  <c r="AL42" i="35"/>
  <c r="AK42" i="35"/>
  <c r="AJ42" i="35"/>
  <c r="AI42" i="35"/>
  <c r="AH42" i="35"/>
  <c r="AL41" i="35"/>
  <c r="AK41" i="35"/>
  <c r="AJ41" i="35"/>
  <c r="AI41" i="35"/>
  <c r="AH41" i="35"/>
  <c r="AL40" i="35"/>
  <c r="AK40" i="35"/>
  <c r="AJ40" i="35"/>
  <c r="AI40" i="35"/>
  <c r="AH40" i="35"/>
  <c r="AL39" i="35"/>
  <c r="AK39" i="35"/>
  <c r="AJ39" i="35"/>
  <c r="AI39" i="35"/>
  <c r="AH39" i="35"/>
  <c r="AL37" i="35"/>
  <c r="AK37" i="35"/>
  <c r="AJ37" i="35"/>
  <c r="Z37" i="35" s="1"/>
  <c r="AI37" i="35"/>
  <c r="AH37" i="35"/>
  <c r="AL36" i="35"/>
  <c r="AK36" i="35"/>
  <c r="AJ36" i="35"/>
  <c r="AI36" i="35"/>
  <c r="Z36" i="35" s="1"/>
  <c r="AH36" i="35"/>
  <c r="AF36" i="35"/>
  <c r="AL35" i="35"/>
  <c r="AK35" i="35"/>
  <c r="AJ35" i="35"/>
  <c r="AI35" i="35"/>
  <c r="AH35" i="35"/>
  <c r="AL34" i="35"/>
  <c r="AK34" i="35"/>
  <c r="AJ34" i="35"/>
  <c r="AI34" i="35"/>
  <c r="AH34" i="35"/>
  <c r="AL33" i="35"/>
  <c r="AK33" i="35"/>
  <c r="AJ33" i="35"/>
  <c r="AI33" i="35"/>
  <c r="AH33" i="35"/>
  <c r="AL32" i="35"/>
  <c r="AK32" i="35"/>
  <c r="AJ32" i="35"/>
  <c r="AI32" i="35"/>
  <c r="AH32" i="35"/>
  <c r="AL30" i="35"/>
  <c r="AK30" i="35"/>
  <c r="AJ30" i="35"/>
  <c r="AI30" i="35"/>
  <c r="AH30" i="35"/>
  <c r="AL29" i="35"/>
  <c r="AK29" i="35"/>
  <c r="AJ29" i="35"/>
  <c r="AI29" i="35"/>
  <c r="AH29" i="35"/>
  <c r="Z29" i="35" s="1"/>
  <c r="AL28" i="35"/>
  <c r="AK28" i="35"/>
  <c r="AJ28" i="35"/>
  <c r="AI28" i="35"/>
  <c r="AH28" i="35"/>
  <c r="AL27" i="35"/>
  <c r="AK27" i="35"/>
  <c r="AJ27" i="35"/>
  <c r="AI27" i="35"/>
  <c r="AH27" i="35"/>
  <c r="Z27" i="35" s="1"/>
  <c r="AL26" i="35"/>
  <c r="AK26" i="35"/>
  <c r="AJ26" i="35"/>
  <c r="AI26" i="35"/>
  <c r="AH26" i="35"/>
  <c r="Y26" i="35" s="1"/>
  <c r="AL25" i="35"/>
  <c r="AK25" i="35"/>
  <c r="AJ25" i="35"/>
  <c r="AI25" i="35"/>
  <c r="AH25" i="35"/>
  <c r="AL23" i="35"/>
  <c r="AK23" i="35"/>
  <c r="AJ23" i="35"/>
  <c r="AI23" i="35"/>
  <c r="AH23" i="35"/>
  <c r="AL22" i="35"/>
  <c r="AK22" i="35"/>
  <c r="AJ22" i="35"/>
  <c r="AI22" i="35"/>
  <c r="AH22" i="35"/>
  <c r="Z22" i="35" s="1"/>
  <c r="AD22" i="35" s="1"/>
  <c r="AL21" i="35"/>
  <c r="AK21" i="35"/>
  <c r="AJ21" i="35"/>
  <c r="AI21" i="35"/>
  <c r="AH21" i="35"/>
  <c r="Z21" i="35" s="1"/>
  <c r="AL20" i="35"/>
  <c r="AK20" i="35"/>
  <c r="AJ20" i="35"/>
  <c r="AI20" i="35"/>
  <c r="AH20" i="35"/>
  <c r="Z20" i="35" s="1"/>
  <c r="AL19" i="35"/>
  <c r="AK19" i="35"/>
  <c r="AJ19" i="35"/>
  <c r="AI19" i="35"/>
  <c r="AH19" i="35"/>
  <c r="AL18" i="35"/>
  <c r="AK18" i="35"/>
  <c r="AJ18" i="35"/>
  <c r="AI18" i="35"/>
  <c r="AH18" i="35"/>
  <c r="AL16" i="35"/>
  <c r="AK16" i="35"/>
  <c r="AJ16" i="35"/>
  <c r="AI16" i="35"/>
  <c r="AH16" i="35"/>
  <c r="AL15" i="35"/>
  <c r="AK15" i="35"/>
  <c r="AJ15" i="35"/>
  <c r="AI15" i="35"/>
  <c r="AH15" i="35"/>
  <c r="AL14" i="35"/>
  <c r="AK14" i="35"/>
  <c r="AJ14" i="35"/>
  <c r="AI14" i="35"/>
  <c r="AH14" i="35"/>
  <c r="AL13" i="35"/>
  <c r="AK13" i="35"/>
  <c r="AJ13" i="35"/>
  <c r="AI13" i="35"/>
  <c r="Z13" i="35" s="1"/>
  <c r="AH13" i="35"/>
  <c r="AL12" i="35"/>
  <c r="AK12" i="35"/>
  <c r="AJ12" i="35"/>
  <c r="AI12" i="35"/>
  <c r="AH12" i="35"/>
  <c r="AL11" i="35"/>
  <c r="AK11" i="35"/>
  <c r="AJ11" i="35"/>
  <c r="AI11" i="35"/>
  <c r="Z11" i="35" s="1"/>
  <c r="AH11" i="35"/>
  <c r="AL9" i="35"/>
  <c r="AK9" i="35"/>
  <c r="AJ9" i="35"/>
  <c r="AI9" i="35"/>
  <c r="AH9" i="35"/>
  <c r="AL8" i="35"/>
  <c r="AK8" i="35"/>
  <c r="AJ8" i="35"/>
  <c r="AI8" i="35"/>
  <c r="AH8" i="35"/>
  <c r="AL7" i="35"/>
  <c r="AK7" i="35"/>
  <c r="AJ7" i="35"/>
  <c r="AI7" i="35"/>
  <c r="AH7" i="35"/>
  <c r="AL6" i="35"/>
  <c r="AK6" i="35"/>
  <c r="AJ6" i="35"/>
  <c r="AI6" i="35"/>
  <c r="Y6" i="35" s="1"/>
  <c r="AH6" i="35"/>
  <c r="AL5" i="35"/>
  <c r="AK5" i="35"/>
  <c r="AJ5" i="35"/>
  <c r="AI5" i="35"/>
  <c r="AH5" i="35"/>
  <c r="AL4" i="35"/>
  <c r="AK4" i="35"/>
  <c r="AJ4" i="35"/>
  <c r="AI4" i="35"/>
  <c r="AH4" i="35"/>
  <c r="M52" i="35"/>
  <c r="M57" i="35" s="1"/>
  <c r="A48" i="61" s="1"/>
  <c r="M45" i="35"/>
  <c r="M46" i="35" s="1"/>
  <c r="A38" i="61" s="1"/>
  <c r="M38" i="35"/>
  <c r="M31" i="35"/>
  <c r="M24" i="35"/>
  <c r="M28" i="35" s="1"/>
  <c r="A23" i="61" s="1"/>
  <c r="M29" i="35"/>
  <c r="A24" i="61" s="1"/>
  <c r="M17" i="35"/>
  <c r="M21" i="35" s="1"/>
  <c r="M10" i="35"/>
  <c r="M11" i="35" s="1"/>
  <c r="AN57" i="35"/>
  <c r="N53" i="35"/>
  <c r="B44" i="61" s="1"/>
  <c r="O53" i="35"/>
  <c r="C44" i="61" s="1"/>
  <c r="Q53" i="35"/>
  <c r="E44" i="61" s="1"/>
  <c r="N54" i="35"/>
  <c r="B45" i="61" s="1"/>
  <c r="O54" i="35"/>
  <c r="Q54" i="35"/>
  <c r="E45" i="61" s="1"/>
  <c r="N55" i="35"/>
  <c r="B46" i="61" s="1"/>
  <c r="O55" i="35"/>
  <c r="Q55" i="35"/>
  <c r="E46" i="61" s="1"/>
  <c r="N56" i="35"/>
  <c r="B47" i="61" s="1"/>
  <c r="Q56" i="35"/>
  <c r="E47" i="61" s="1"/>
  <c r="N57" i="35"/>
  <c r="B48" i="61" s="1"/>
  <c r="Q57" i="35"/>
  <c r="N58" i="35"/>
  <c r="Q58" i="35"/>
  <c r="E49" i="61" s="1"/>
  <c r="AN55" i="35"/>
  <c r="AN53" i="35"/>
  <c r="AN50" i="35"/>
  <c r="N46" i="35"/>
  <c r="Q46" i="35"/>
  <c r="E38" i="61" s="1"/>
  <c r="N47" i="35"/>
  <c r="B39" i="61" s="1"/>
  <c r="Q47" i="35"/>
  <c r="S47" i="35" s="1"/>
  <c r="G39" i="61" s="1"/>
  <c r="N48" i="35"/>
  <c r="O48" i="35" s="1"/>
  <c r="C40" i="61" s="1"/>
  <c r="Q48" i="35"/>
  <c r="N49" i="35"/>
  <c r="B41" i="61" s="1"/>
  <c r="Q49" i="35"/>
  <c r="N50" i="35"/>
  <c r="B42" i="61" s="1"/>
  <c r="Q50" i="35"/>
  <c r="E42" i="61" s="1"/>
  <c r="N51" i="35"/>
  <c r="O51" i="35" s="1"/>
  <c r="Q51" i="35"/>
  <c r="R51" i="35" s="1"/>
  <c r="F43" i="61" s="1"/>
  <c r="AN48" i="35"/>
  <c r="AE46" i="35"/>
  <c r="AE50" i="35"/>
  <c r="AF48" i="35"/>
  <c r="AF46" i="35"/>
  <c r="AE48" i="35"/>
  <c r="AF50" i="35"/>
  <c r="AN46" i="35"/>
  <c r="AN43" i="35"/>
  <c r="N39" i="35"/>
  <c r="Q39" i="35"/>
  <c r="S39" i="35" s="1"/>
  <c r="G32" i="61" s="1"/>
  <c r="N40" i="35"/>
  <c r="B33" i="61" s="1"/>
  <c r="O40" i="35"/>
  <c r="C33" i="61" s="1"/>
  <c r="Q40" i="35"/>
  <c r="S40" i="35" s="1"/>
  <c r="G33" i="61" s="1"/>
  <c r="N41" i="35"/>
  <c r="O41" i="35" s="1"/>
  <c r="C34" i="61" s="1"/>
  <c r="Q41" i="35"/>
  <c r="N42" i="35"/>
  <c r="B35" i="61" s="1"/>
  <c r="O42" i="35"/>
  <c r="Q42" i="35"/>
  <c r="E35" i="61" s="1"/>
  <c r="N43" i="35"/>
  <c r="B36" i="61" s="1"/>
  <c r="Q43" i="35"/>
  <c r="R43" i="35" s="1"/>
  <c r="F36" i="61" s="1"/>
  <c r="N44" i="35"/>
  <c r="B37" i="61" s="1"/>
  <c r="Q44" i="35"/>
  <c r="E37" i="61" s="1"/>
  <c r="AN41" i="35"/>
  <c r="AF39" i="35"/>
  <c r="AN39" i="35"/>
  <c r="AN36" i="35"/>
  <c r="N32" i="35"/>
  <c r="O32" i="35" s="1"/>
  <c r="C26" i="61" s="1"/>
  <c r="P32" i="35"/>
  <c r="D26" i="61" s="1"/>
  <c r="Q32" i="35"/>
  <c r="E26" i="61" s="1"/>
  <c r="N33" i="35"/>
  <c r="Q33" i="35"/>
  <c r="E27" i="61" s="1"/>
  <c r="N34" i="35"/>
  <c r="O34" i="35" s="1"/>
  <c r="C28" i="61" s="1"/>
  <c r="Q34" i="35"/>
  <c r="E28" i="61" s="1"/>
  <c r="N35" i="35"/>
  <c r="Q35" i="35"/>
  <c r="S35" i="35" s="1"/>
  <c r="G29" i="61" s="1"/>
  <c r="N36" i="35"/>
  <c r="B30" i="61" s="1"/>
  <c r="Q36" i="35"/>
  <c r="R36" i="35" s="1"/>
  <c r="F30" i="61" s="1"/>
  <c r="N37" i="35"/>
  <c r="Q37" i="35"/>
  <c r="AN34" i="35"/>
  <c r="AE36" i="35"/>
  <c r="AN32" i="35"/>
  <c r="AN29" i="35"/>
  <c r="N25" i="35"/>
  <c r="B20" i="61" s="1"/>
  <c r="O25" i="35"/>
  <c r="Q25" i="35"/>
  <c r="E20" i="61" s="1"/>
  <c r="N26" i="35"/>
  <c r="P26" i="35" s="1"/>
  <c r="D21" i="61" s="1"/>
  <c r="Q26" i="35"/>
  <c r="S26" i="35" s="1"/>
  <c r="G21" i="61" s="1"/>
  <c r="N27" i="35"/>
  <c r="B22" i="61" s="1"/>
  <c r="O27" i="35"/>
  <c r="Q27" i="35"/>
  <c r="E22" i="61" s="1"/>
  <c r="N28" i="35"/>
  <c r="B23" i="61" s="1"/>
  <c r="O28" i="35"/>
  <c r="C23" i="61" s="1"/>
  <c r="Q28" i="35"/>
  <c r="E23" i="61" s="1"/>
  <c r="N29" i="35"/>
  <c r="B24" i="61" s="1"/>
  <c r="Q29" i="35"/>
  <c r="E24" i="61" s="1"/>
  <c r="N30" i="35"/>
  <c r="B25" i="61" s="1"/>
  <c r="P30" i="35"/>
  <c r="D25" i="61" s="1"/>
  <c r="Q30" i="35"/>
  <c r="E25" i="61" s="1"/>
  <c r="AN27" i="35"/>
  <c r="AE29" i="35"/>
  <c r="AF29" i="35"/>
  <c r="AN25" i="35"/>
  <c r="AN22" i="35"/>
  <c r="N18" i="35"/>
  <c r="P18" i="35" s="1"/>
  <c r="Q18" i="35"/>
  <c r="N19" i="35"/>
  <c r="Q19" i="35"/>
  <c r="N20" i="35"/>
  <c r="Q20" i="35"/>
  <c r="N21" i="35"/>
  <c r="Q21" i="35"/>
  <c r="N22" i="35"/>
  <c r="Q22" i="35"/>
  <c r="N23" i="35"/>
  <c r="O23" i="35" s="1"/>
  <c r="Q23" i="35"/>
  <c r="AN20" i="35"/>
  <c r="AN18" i="35"/>
  <c r="AN15" i="35"/>
  <c r="N11" i="35"/>
  <c r="Q11" i="35"/>
  <c r="N12" i="35"/>
  <c r="Q12" i="35"/>
  <c r="N13" i="35"/>
  <c r="Q13" i="35"/>
  <c r="N14" i="35"/>
  <c r="Q14" i="35"/>
  <c r="R14" i="35" s="1"/>
  <c r="N15" i="35"/>
  <c r="O15" i="35"/>
  <c r="Q15" i="35"/>
  <c r="N16" i="35"/>
  <c r="P16" i="35" s="1"/>
  <c r="Q16" i="35"/>
  <c r="S16" i="35" s="1"/>
  <c r="AN13" i="35"/>
  <c r="AN11" i="35"/>
  <c r="AN4" i="35"/>
  <c r="A1" i="35"/>
  <c r="P53" i="35"/>
  <c r="D44" i="61" s="1"/>
  <c r="P48" i="35"/>
  <c r="D40" i="61" s="1"/>
  <c r="P40" i="35"/>
  <c r="D33" i="61" s="1"/>
  <c r="P15" i="35"/>
  <c r="Q9" i="35"/>
  <c r="Q8" i="35"/>
  <c r="S8" i="35" s="1"/>
  <c r="Q7" i="35"/>
  <c r="Q6" i="35"/>
  <c r="Q5" i="35"/>
  <c r="S5" i="35" s="1"/>
  <c r="Q4" i="35"/>
  <c r="S4" i="35" s="1"/>
  <c r="N9" i="35"/>
  <c r="N8" i="35"/>
  <c r="O8" i="35" s="1"/>
  <c r="N7" i="35"/>
  <c r="N6" i="35"/>
  <c r="O6" i="35"/>
  <c r="N5" i="35"/>
  <c r="O5" i="35" s="1"/>
  <c r="N4" i="35"/>
  <c r="AN6" i="35"/>
  <c r="AN8" i="35"/>
  <c r="E8" i="3"/>
  <c r="G8" i="3" s="1"/>
  <c r="E7" i="3"/>
  <c r="F7" i="3" s="1"/>
  <c r="E6" i="3"/>
  <c r="E5" i="3"/>
  <c r="G5" i="3" s="1"/>
  <c r="E4" i="3"/>
  <c r="E3" i="3"/>
  <c r="G3" i="3" s="1"/>
  <c r="E2" i="3"/>
  <c r="G2" i="3" s="1"/>
  <c r="B9" i="3"/>
  <c r="D9" i="3" s="1"/>
  <c r="D7" i="3"/>
  <c r="D6" i="3"/>
  <c r="A19" i="3"/>
  <c r="A17" i="3"/>
  <c r="A16" i="3"/>
  <c r="C6" i="3"/>
  <c r="D22" i="3"/>
  <c r="D21" i="3"/>
  <c r="C22" i="3"/>
  <c r="C21" i="3"/>
  <c r="A10" i="52"/>
  <c r="A8" i="52"/>
  <c r="A7" i="52"/>
  <c r="E4" i="52"/>
  <c r="E2" i="52"/>
  <c r="G2" i="52" s="1"/>
  <c r="B5" i="52"/>
  <c r="D5" i="52" s="1"/>
  <c r="C5" i="52"/>
  <c r="B3" i="52"/>
  <c r="D13" i="52"/>
  <c r="D12" i="52"/>
  <c r="C13" i="52"/>
  <c r="C12" i="52"/>
  <c r="H7" i="60"/>
  <c r="H6" i="60"/>
  <c r="H4" i="60"/>
  <c r="J4" i="60" s="1"/>
  <c r="H2" i="60"/>
  <c r="J2" i="60" s="1"/>
  <c r="B9" i="60"/>
  <c r="C9" i="60"/>
  <c r="B8" i="60"/>
  <c r="D8" i="60" s="1"/>
  <c r="B5" i="60"/>
  <c r="D5" i="60" s="1"/>
  <c r="B3" i="60"/>
  <c r="D3" i="60" s="1"/>
  <c r="B2" i="60"/>
  <c r="D2" i="60" s="1"/>
  <c r="H5" i="58"/>
  <c r="J5" i="58" s="1"/>
  <c r="H4" i="58"/>
  <c r="J4" i="58" s="1"/>
  <c r="H3" i="58"/>
  <c r="J3" i="58" s="1"/>
  <c r="H2" i="58"/>
  <c r="B5" i="58"/>
  <c r="D5" i="58"/>
  <c r="B2" i="58"/>
  <c r="C2" i="58" s="1"/>
  <c r="P55" i="35"/>
  <c r="D46" i="61" s="1"/>
  <c r="AF27" i="35"/>
  <c r="Z4" i="49"/>
  <c r="Z6" i="49"/>
  <c r="AF18" i="35"/>
  <c r="AE20" i="35"/>
  <c r="AF6" i="35"/>
  <c r="AE39" i="35"/>
  <c r="AF15" i="35"/>
  <c r="AF20" i="35"/>
  <c r="AE27" i="35"/>
  <c r="G29" i="35" s="1"/>
  <c r="Z25" i="49"/>
  <c r="F26" i="49" s="1"/>
  <c r="AF25" i="35"/>
  <c r="AF43" i="35"/>
  <c r="AF4" i="35"/>
  <c r="AF22" i="35"/>
  <c r="Z32" i="35"/>
  <c r="AE32" i="35"/>
  <c r="AF41" i="35"/>
  <c r="AF29" i="49"/>
  <c r="G29" i="49" s="1"/>
  <c r="AE11" i="35"/>
  <c r="AF11" i="35"/>
  <c r="AE4" i="35"/>
  <c r="AF32" i="35"/>
  <c r="AE29" i="49"/>
  <c r="AE22" i="35"/>
  <c r="AE8" i="35"/>
  <c r="AF25" i="49"/>
  <c r="AE27" i="49"/>
  <c r="AF27" i="49"/>
  <c r="AF13" i="35"/>
  <c r="AE13" i="35"/>
  <c r="AE25" i="49"/>
  <c r="AF34" i="35"/>
  <c r="AE41" i="35"/>
  <c r="AE25" i="35"/>
  <c r="AE34" i="35"/>
  <c r="AF8" i="35"/>
  <c r="AE6" i="35"/>
  <c r="AE18" i="35"/>
  <c r="AE43" i="35"/>
  <c r="AE15" i="35"/>
  <c r="C9" i="11"/>
  <c r="D7" i="11"/>
  <c r="S2" i="11"/>
  <c r="T9" i="11"/>
  <c r="S14" i="11"/>
  <c r="D3" i="11"/>
  <c r="C5" i="58"/>
  <c r="S9" i="60"/>
  <c r="T9" i="60"/>
  <c r="S14" i="60"/>
  <c r="C3" i="60"/>
  <c r="Z9" i="60"/>
  <c r="E34" i="59" s="1"/>
  <c r="M18" i="49"/>
  <c r="A14" i="65" s="1"/>
  <c r="A50" i="67" s="1"/>
  <c r="M49" i="35"/>
  <c r="A41" i="61" s="1"/>
  <c r="D4" i="60"/>
  <c r="M27" i="49"/>
  <c r="A22" i="65" s="1"/>
  <c r="A82" i="67" s="1"/>
  <c r="M20" i="49"/>
  <c r="A16" i="65" s="1"/>
  <c r="A58" i="67" s="1"/>
  <c r="D7" i="60"/>
  <c r="M23" i="49"/>
  <c r="A19" i="65" s="1"/>
  <c r="H66" i="67" s="1"/>
  <c r="M27" i="35"/>
  <c r="A22" i="61" s="1"/>
  <c r="M32" i="35"/>
  <c r="A26" i="61" s="1"/>
  <c r="M26" i="35"/>
  <c r="A21" i="61" s="1"/>
  <c r="M12" i="49"/>
  <c r="A9" i="65" s="1"/>
  <c r="H26" i="67" s="1"/>
  <c r="P12" i="35"/>
  <c r="M9" i="35"/>
  <c r="O4" i="35"/>
  <c r="M8" i="49"/>
  <c r="A6" i="65" s="1"/>
  <c r="A18" i="67" s="1"/>
  <c r="M15" i="49"/>
  <c r="A12" i="65" s="1"/>
  <c r="A42" i="67" s="1"/>
  <c r="D9" i="60"/>
  <c r="P54" i="35"/>
  <c r="D45" i="61" s="1"/>
  <c r="P30" i="49"/>
  <c r="D25" i="65" s="1"/>
  <c r="M4" i="35"/>
  <c r="A2" i="62" s="1"/>
  <c r="M8" i="35"/>
  <c r="M25" i="35"/>
  <c r="A20" i="61" s="1"/>
  <c r="M34" i="35"/>
  <c r="M53" i="35"/>
  <c r="A44" i="61" s="1"/>
  <c r="M14" i="49"/>
  <c r="A11" i="65" s="1"/>
  <c r="H34" i="67" s="1"/>
  <c r="C5" i="60"/>
  <c r="P6" i="35"/>
  <c r="P36" i="35"/>
  <c r="D30" i="61" s="1"/>
  <c r="M7" i="35"/>
  <c r="O13" i="49"/>
  <c r="C10" i="65" s="1"/>
  <c r="P21" i="49"/>
  <c r="D17" i="65" s="1"/>
  <c r="M5" i="49"/>
  <c r="A3" i="65" s="1"/>
  <c r="H2" i="67" s="1"/>
  <c r="C8" i="60"/>
  <c r="M48" i="35"/>
  <c r="A40" i="61" s="1"/>
  <c r="M51" i="35"/>
  <c r="A43" i="61" s="1"/>
  <c r="M33" i="35"/>
  <c r="A27" i="61" s="1"/>
  <c r="M36" i="35"/>
  <c r="A30" i="61" s="1"/>
  <c r="M37" i="35"/>
  <c r="A31" i="61" s="1"/>
  <c r="M35" i="35"/>
  <c r="A29" i="61" s="1"/>
  <c r="T2" i="11"/>
  <c r="P29" i="49"/>
  <c r="D24" i="65" s="1"/>
  <c r="O30" i="35"/>
  <c r="Y18" i="35"/>
  <c r="Z18" i="35"/>
  <c r="Y22" i="35"/>
  <c r="Y25" i="35"/>
  <c r="Z25" i="35"/>
  <c r="K25" i="35" s="1"/>
  <c r="AE54" i="35"/>
  <c r="Z54" i="35"/>
  <c r="G8" i="49"/>
  <c r="AC25" i="49"/>
  <c r="C29" i="49"/>
  <c r="AD25" i="49"/>
  <c r="K25" i="49"/>
  <c r="O57" i="35"/>
  <c r="C48" i="61" s="1"/>
  <c r="P57" i="35"/>
  <c r="D48" i="61" s="1"/>
  <c r="O56" i="35"/>
  <c r="O11" i="49"/>
  <c r="P11" i="49"/>
  <c r="D8" i="65" s="1"/>
  <c r="O27" i="49"/>
  <c r="C22" i="65" s="1"/>
  <c r="P27" i="49"/>
  <c r="D22" i="65" s="1"/>
  <c r="O25" i="49"/>
  <c r="C20" i="65" s="1"/>
  <c r="P33" i="35"/>
  <c r="D27" i="61" s="1"/>
  <c r="D4" i="3"/>
  <c r="C4" i="3"/>
  <c r="B1" i="59"/>
  <c r="B1" i="57"/>
  <c r="AE26" i="49"/>
  <c r="S9" i="11"/>
  <c r="Y9" i="11" s="1"/>
  <c r="Y2" i="11"/>
  <c r="AF26" i="49"/>
  <c r="AF56" i="35"/>
  <c r="AF54" i="35"/>
  <c r="AF53" i="35"/>
  <c r="AE53" i="35"/>
  <c r="Z9" i="11"/>
  <c r="E34" i="12" s="1"/>
  <c r="AA25" i="35"/>
  <c r="AB25" i="35" s="1"/>
  <c r="AC25" i="35"/>
  <c r="AD25" i="35"/>
  <c r="C29" i="35"/>
  <c r="AC18" i="35"/>
  <c r="C22" i="35"/>
  <c r="L2" i="63" l="1"/>
  <c r="M2" i="63"/>
  <c r="G5" i="63"/>
  <c r="F5" i="63"/>
  <c r="F8" i="63"/>
  <c r="G8" i="63"/>
  <c r="G3" i="63"/>
  <c r="F3" i="63"/>
  <c r="L6" i="63"/>
  <c r="M6" i="63"/>
  <c r="C32" i="59"/>
  <c r="E9" i="63"/>
  <c r="F4" i="63"/>
  <c r="G4" i="63"/>
  <c r="G7" i="63"/>
  <c r="F7" i="63"/>
  <c r="G2" i="63"/>
  <c r="F2" i="63"/>
  <c r="M4" i="63"/>
  <c r="L4" i="63"/>
  <c r="M7" i="63"/>
  <c r="L7" i="63"/>
  <c r="C2" i="11"/>
  <c r="S19" i="11"/>
  <c r="T19" i="11"/>
  <c r="Y19" i="11" s="1"/>
  <c r="Z19" i="11" s="1"/>
  <c r="H20" i="12" s="1"/>
  <c r="S17" i="11"/>
  <c r="T16" i="11"/>
  <c r="S13" i="11"/>
  <c r="T13" i="11"/>
  <c r="T14" i="11"/>
  <c r="Z14" i="11" s="1"/>
  <c r="F32" i="12" s="1"/>
  <c r="T12" i="11"/>
  <c r="M10" i="52"/>
  <c r="N19" i="3"/>
  <c r="S8" i="11"/>
  <c r="S7" i="11"/>
  <c r="S4" i="11"/>
  <c r="S6" i="11"/>
  <c r="U6" i="11" s="1"/>
  <c r="M4" i="52"/>
  <c r="Q4" i="52" s="1"/>
  <c r="T16" i="60"/>
  <c r="N7" i="52"/>
  <c r="M7" i="52"/>
  <c r="T14" i="60"/>
  <c r="Y14" i="60" s="1"/>
  <c r="S13" i="60"/>
  <c r="T10" i="58"/>
  <c r="Y10" i="58" s="1"/>
  <c r="Z10" i="58" s="1"/>
  <c r="G12" i="57" s="1"/>
  <c r="S12" i="60"/>
  <c r="M3" i="52"/>
  <c r="S8" i="60"/>
  <c r="N16" i="3"/>
  <c r="M16" i="3"/>
  <c r="N17" i="3"/>
  <c r="S8" i="58"/>
  <c r="S2" i="58"/>
  <c r="S16" i="11"/>
  <c r="T6" i="11"/>
  <c r="T7" i="11"/>
  <c r="T7" i="60"/>
  <c r="T6" i="60"/>
  <c r="T5" i="60"/>
  <c r="S4" i="60"/>
  <c r="U4" i="60" s="1"/>
  <c r="V4" i="60" s="1"/>
  <c r="E12" i="59" s="1"/>
  <c r="T12" i="60"/>
  <c r="T13" i="60"/>
  <c r="S3" i="60"/>
  <c r="Y3" i="60" s="1"/>
  <c r="Z3" i="60" s="1"/>
  <c r="E10" i="59" s="1"/>
  <c r="S7" i="60"/>
  <c r="S6" i="60"/>
  <c r="S5" i="60"/>
  <c r="Y4" i="60"/>
  <c r="Z4" i="60" s="1"/>
  <c r="E14" i="59" s="1"/>
  <c r="C2" i="60"/>
  <c r="Q13" i="3"/>
  <c r="R13" i="3" s="1"/>
  <c r="F24" i="4" s="1"/>
  <c r="M14" i="3"/>
  <c r="N14" i="3"/>
  <c r="M12" i="3"/>
  <c r="N2" i="52"/>
  <c r="N10" i="52"/>
  <c r="Q7" i="52"/>
  <c r="O4" i="52"/>
  <c r="P4" i="52" s="1"/>
  <c r="E14" i="51" s="1"/>
  <c r="M2" i="52"/>
  <c r="D4" i="52"/>
  <c r="N2" i="3"/>
  <c r="M9" i="3"/>
  <c r="T8" i="58"/>
  <c r="T2" i="58"/>
  <c r="D4" i="58"/>
  <c r="C3" i="58"/>
  <c r="D2" i="58"/>
  <c r="C6" i="12"/>
  <c r="C22" i="12"/>
  <c r="C32" i="12"/>
  <c r="E7" i="11"/>
  <c r="F7" i="11" s="1"/>
  <c r="Y21" i="49"/>
  <c r="Y18" i="49"/>
  <c r="Y15" i="49"/>
  <c r="Z12" i="49"/>
  <c r="Y7" i="49"/>
  <c r="Z7" i="49"/>
  <c r="AF7" i="49" s="1"/>
  <c r="Z5" i="49"/>
  <c r="C9" i="3"/>
  <c r="M17" i="3"/>
  <c r="Q14" i="3"/>
  <c r="R14" i="3" s="1"/>
  <c r="F32" i="4" s="1"/>
  <c r="N12" i="3"/>
  <c r="Q12" i="3" s="1"/>
  <c r="R12" i="3" s="1"/>
  <c r="F16" i="4" s="1"/>
  <c r="M2" i="3"/>
  <c r="Q2" i="3" s="1"/>
  <c r="N5" i="3"/>
  <c r="D8" i="3"/>
  <c r="Y16" i="35"/>
  <c r="Z16" i="35"/>
  <c r="Y51" i="35"/>
  <c r="Z49" i="35"/>
  <c r="AE49" i="35" s="1"/>
  <c r="Y35" i="35"/>
  <c r="Y30" i="35"/>
  <c r="Y23" i="35"/>
  <c r="E19" i="35" s="1"/>
  <c r="Y12" i="35"/>
  <c r="Y9" i="35"/>
  <c r="Y7" i="35"/>
  <c r="D8" i="11"/>
  <c r="D6" i="11"/>
  <c r="E7" i="60"/>
  <c r="F7" i="60" s="1"/>
  <c r="K3" i="11"/>
  <c r="M3" i="11" s="1"/>
  <c r="E6" i="60"/>
  <c r="G6" i="60" s="1"/>
  <c r="C24" i="59"/>
  <c r="C26" i="59"/>
  <c r="C18" i="12"/>
  <c r="C34" i="12"/>
  <c r="C28" i="59"/>
  <c r="C34" i="59"/>
  <c r="C24" i="12"/>
  <c r="C6" i="57"/>
  <c r="K4" i="60"/>
  <c r="L4" i="60" s="1"/>
  <c r="C8" i="59"/>
  <c r="E8" i="60"/>
  <c r="G8" i="60" s="1"/>
  <c r="K6" i="11"/>
  <c r="M6" i="11" s="1"/>
  <c r="A49" i="64"/>
  <c r="K2" i="60"/>
  <c r="L2" i="60" s="1"/>
  <c r="K2" i="11"/>
  <c r="L2" i="11" s="1"/>
  <c r="C4" i="12"/>
  <c r="C16" i="57"/>
  <c r="K4" i="64"/>
  <c r="K3" i="60"/>
  <c r="C28" i="12"/>
  <c r="C14" i="59"/>
  <c r="C20" i="59"/>
  <c r="H49" i="64"/>
  <c r="C12" i="12"/>
  <c r="K9" i="60"/>
  <c r="M9" i="60" s="1"/>
  <c r="C6" i="59"/>
  <c r="C8" i="12"/>
  <c r="C10" i="59"/>
  <c r="E5" i="58"/>
  <c r="F5" i="58" s="1"/>
  <c r="G3" i="11"/>
  <c r="E9" i="60"/>
  <c r="K4" i="58"/>
  <c r="L4" i="58" s="1"/>
  <c r="K49" i="64"/>
  <c r="E9" i="11"/>
  <c r="G9" i="11" s="1"/>
  <c r="E2" i="60"/>
  <c r="G2" i="60" s="1"/>
  <c r="E4" i="60"/>
  <c r="F4" i="60" s="1"/>
  <c r="K5" i="58"/>
  <c r="M5" i="58" s="1"/>
  <c r="K3" i="58"/>
  <c r="L3" i="58" s="1"/>
  <c r="K31" i="64"/>
  <c r="C22" i="59"/>
  <c r="K22" i="64"/>
  <c r="C14" i="57"/>
  <c r="K6" i="60"/>
  <c r="L6" i="60" s="1"/>
  <c r="K5" i="60"/>
  <c r="M5" i="60" s="1"/>
  <c r="E2" i="58"/>
  <c r="G2" i="58" s="1"/>
  <c r="H40" i="64"/>
  <c r="C18" i="59"/>
  <c r="E6" i="11"/>
  <c r="G6" i="11" s="1"/>
  <c r="E5" i="60"/>
  <c r="G5" i="60" s="1"/>
  <c r="C14" i="12"/>
  <c r="K7" i="11"/>
  <c r="M7" i="11" s="1"/>
  <c r="C4" i="59"/>
  <c r="E3" i="60"/>
  <c r="G3" i="60" s="1"/>
  <c r="C12" i="59"/>
  <c r="C16" i="59"/>
  <c r="K7" i="60"/>
  <c r="L7" i="60" s="1"/>
  <c r="K2" i="58"/>
  <c r="M2" i="58" s="1"/>
  <c r="C18" i="57"/>
  <c r="D40" i="64"/>
  <c r="D31" i="64"/>
  <c r="A22" i="64"/>
  <c r="Y19" i="35"/>
  <c r="AC19" i="35" s="1"/>
  <c r="AD19" i="35" s="1"/>
  <c r="Z19" i="35"/>
  <c r="AF19" i="35" s="1"/>
  <c r="P27" i="35"/>
  <c r="D22" i="61" s="1"/>
  <c r="O29" i="35"/>
  <c r="C24" i="61" s="1"/>
  <c r="P15" i="49"/>
  <c r="D12" i="65" s="1"/>
  <c r="O15" i="49"/>
  <c r="C12" i="65" s="1"/>
  <c r="A43" i="67" s="1"/>
  <c r="O8" i="49"/>
  <c r="C6" i="65" s="1"/>
  <c r="B19" i="65"/>
  <c r="O47" i="35"/>
  <c r="C39" i="61" s="1"/>
  <c r="P29" i="35"/>
  <c r="D24" i="61" s="1"/>
  <c r="P22" i="35"/>
  <c r="P49" i="35"/>
  <c r="D41" i="61" s="1"/>
  <c r="P41" i="35"/>
  <c r="D34" i="61" s="1"/>
  <c r="O26" i="35"/>
  <c r="C21" i="61" s="1"/>
  <c r="O43" i="35"/>
  <c r="C36" i="61" s="1"/>
  <c r="O36" i="35"/>
  <c r="C30" i="61" s="1"/>
  <c r="A115" i="62" s="1"/>
  <c r="O22" i="35"/>
  <c r="P42" i="35"/>
  <c r="D35" i="61" s="1"/>
  <c r="P28" i="35"/>
  <c r="D23" i="61" s="1"/>
  <c r="H83" i="62" s="1"/>
  <c r="I7" i="11"/>
  <c r="J5" i="60"/>
  <c r="S8" i="49"/>
  <c r="G6" i="65" s="1"/>
  <c r="I6" i="11"/>
  <c r="I3" i="60"/>
  <c r="F2" i="3"/>
  <c r="G9" i="3"/>
  <c r="J5" i="11"/>
  <c r="J3" i="11"/>
  <c r="L9" i="11"/>
  <c r="S13" i="35"/>
  <c r="M5" i="11"/>
  <c r="G4" i="11"/>
  <c r="R18" i="35"/>
  <c r="S18" i="35"/>
  <c r="R27" i="35"/>
  <c r="F22" i="61" s="1"/>
  <c r="R8" i="49"/>
  <c r="F6" i="65" s="1"/>
  <c r="R6" i="35"/>
  <c r="S56" i="35"/>
  <c r="G47" i="61" s="1"/>
  <c r="R13" i="35"/>
  <c r="S20" i="35"/>
  <c r="S30" i="35"/>
  <c r="G25" i="61" s="1"/>
  <c r="R29" i="35"/>
  <c r="F24" i="61" s="1"/>
  <c r="R28" i="35"/>
  <c r="F23" i="61" s="1"/>
  <c r="S27" i="35"/>
  <c r="G22" i="61" s="1"/>
  <c r="R33" i="35"/>
  <c r="F27" i="61" s="1"/>
  <c r="R56" i="35"/>
  <c r="F47" i="61" s="1"/>
  <c r="G8" i="11"/>
  <c r="S13" i="49"/>
  <c r="G10" i="65" s="1"/>
  <c r="G7" i="3"/>
  <c r="R30" i="35"/>
  <c r="F25" i="61" s="1"/>
  <c r="K91" i="62" s="1"/>
  <c r="S29" i="35"/>
  <c r="G24" i="61" s="1"/>
  <c r="S33" i="35"/>
  <c r="G27" i="61" s="1"/>
  <c r="I4" i="60"/>
  <c r="S54" i="35"/>
  <c r="G45" i="61" s="1"/>
  <c r="R53" i="35"/>
  <c r="F44" i="61" s="1"/>
  <c r="I9" i="60"/>
  <c r="J8" i="11"/>
  <c r="I4" i="58"/>
  <c r="U9" i="60"/>
  <c r="H14" i="60" s="1"/>
  <c r="I14" i="60" s="1"/>
  <c r="I2" i="60"/>
  <c r="R9" i="35"/>
  <c r="G5" i="52"/>
  <c r="W9" i="11"/>
  <c r="K14" i="11" s="1"/>
  <c r="M14" i="11" s="1"/>
  <c r="R34" i="35"/>
  <c r="F28" i="61" s="1"/>
  <c r="S11" i="49"/>
  <c r="G8" i="65" s="1"/>
  <c r="S9" i="35"/>
  <c r="S20" i="49"/>
  <c r="G16" i="65" s="1"/>
  <c r="M4" i="11"/>
  <c r="S21" i="49"/>
  <c r="G17" i="65" s="1"/>
  <c r="R46" i="35"/>
  <c r="F38" i="61" s="1"/>
  <c r="F5" i="3"/>
  <c r="R29" i="49"/>
  <c r="F24" i="65" s="1"/>
  <c r="I2" i="11"/>
  <c r="I3" i="58"/>
  <c r="S6" i="35"/>
  <c r="S19" i="49"/>
  <c r="G15" i="65" s="1"/>
  <c r="F8" i="3"/>
  <c r="S46" i="35"/>
  <c r="G38" i="61" s="1"/>
  <c r="I5" i="58"/>
  <c r="F2" i="52"/>
  <c r="S12" i="35"/>
  <c r="R23" i="35"/>
  <c r="R19" i="49"/>
  <c r="F15" i="65" s="1"/>
  <c r="S30" i="49"/>
  <c r="G25" i="65" s="1"/>
  <c r="S29" i="49"/>
  <c r="G24" i="65" s="1"/>
  <c r="R26" i="49"/>
  <c r="F21" i="65" s="1"/>
  <c r="I9" i="11"/>
  <c r="R25" i="35"/>
  <c r="F20" i="61" s="1"/>
  <c r="F3" i="3"/>
  <c r="S23" i="49"/>
  <c r="G19" i="65" s="1"/>
  <c r="U9" i="11"/>
  <c r="R32" i="35"/>
  <c r="J32" i="35" s="1"/>
  <c r="S32" i="35"/>
  <c r="G26" i="61" s="1"/>
  <c r="R50" i="35"/>
  <c r="F42" i="61" s="1"/>
  <c r="R7" i="35"/>
  <c r="S25" i="35"/>
  <c r="G20" i="61" s="1"/>
  <c r="R11" i="35"/>
  <c r="S15" i="35"/>
  <c r="R4" i="35"/>
  <c r="R22" i="49"/>
  <c r="F18" i="65" s="1"/>
  <c r="R55" i="35"/>
  <c r="F46" i="61" s="1"/>
  <c r="S36" i="35"/>
  <c r="G30" i="61" s="1"/>
  <c r="E30" i="61"/>
  <c r="S34" i="35"/>
  <c r="G28" i="61" s="1"/>
  <c r="R58" i="35"/>
  <c r="F49" i="61" s="1"/>
  <c r="F2" i="11"/>
  <c r="I4" i="11"/>
  <c r="R11" i="49"/>
  <c r="F8" i="65" s="1"/>
  <c r="S50" i="35"/>
  <c r="G42" i="61" s="1"/>
  <c r="S7" i="35"/>
  <c r="G3" i="52"/>
  <c r="S19" i="35"/>
  <c r="R20" i="35"/>
  <c r="R54" i="35"/>
  <c r="F45" i="61" s="1"/>
  <c r="S55" i="35"/>
  <c r="G46" i="61" s="1"/>
  <c r="S23" i="35"/>
  <c r="S53" i="35"/>
  <c r="G44" i="61" s="1"/>
  <c r="R15" i="35"/>
  <c r="S11" i="35"/>
  <c r="R19" i="35"/>
  <c r="K51" i="62" s="1"/>
  <c r="R44" i="35"/>
  <c r="F37" i="61" s="1"/>
  <c r="R23" i="49"/>
  <c r="F19" i="65" s="1"/>
  <c r="S22" i="49"/>
  <c r="G18" i="65" s="1"/>
  <c r="R21" i="49"/>
  <c r="F17" i="65" s="1"/>
  <c r="R7" i="49"/>
  <c r="F5" i="65" s="1"/>
  <c r="S7" i="49"/>
  <c r="G5" i="65" s="1"/>
  <c r="R4" i="49"/>
  <c r="F2" i="65" s="1"/>
  <c r="S4" i="49"/>
  <c r="G2" i="65" s="1"/>
  <c r="O6" i="49"/>
  <c r="C4" i="65" s="1"/>
  <c r="P6" i="49"/>
  <c r="D4" i="65" s="1"/>
  <c r="P8" i="49"/>
  <c r="D6" i="65" s="1"/>
  <c r="S9" i="49"/>
  <c r="G7" i="65" s="1"/>
  <c r="AC26" i="49"/>
  <c r="K26" i="49"/>
  <c r="Z26" i="49"/>
  <c r="E27" i="49" s="1"/>
  <c r="Z28" i="49"/>
  <c r="Z18" i="49"/>
  <c r="AE18" i="49" s="1"/>
  <c r="Y23" i="49"/>
  <c r="Z14" i="49"/>
  <c r="AF14" i="49" s="1"/>
  <c r="Y6" i="49"/>
  <c r="Y9" i="49"/>
  <c r="E8" i="49"/>
  <c r="Y8" i="49"/>
  <c r="AA7" i="49"/>
  <c r="AB7" i="49" s="1"/>
  <c r="P25" i="49"/>
  <c r="D20" i="65" s="1"/>
  <c r="A75" i="67" s="1"/>
  <c r="R30" i="49"/>
  <c r="F25" i="65" s="1"/>
  <c r="S26" i="49"/>
  <c r="G21" i="65" s="1"/>
  <c r="P22" i="49"/>
  <c r="D18" i="65" s="1"/>
  <c r="A67" i="67" s="1"/>
  <c r="E14" i="65"/>
  <c r="S18" i="49"/>
  <c r="G14" i="65" s="1"/>
  <c r="R20" i="49"/>
  <c r="F16" i="65" s="1"/>
  <c r="R13" i="49"/>
  <c r="F10" i="65" s="1"/>
  <c r="P12" i="49"/>
  <c r="D9" i="65" s="1"/>
  <c r="S12" i="49"/>
  <c r="G9" i="65" s="1"/>
  <c r="O12" i="49"/>
  <c r="C9" i="65" s="1"/>
  <c r="R12" i="49"/>
  <c r="F9" i="65" s="1"/>
  <c r="S5" i="49"/>
  <c r="G3" i="65" s="1"/>
  <c r="B3" i="65"/>
  <c r="S6" i="49"/>
  <c r="G4" i="65" s="1"/>
  <c r="P7" i="49"/>
  <c r="D5" i="65" s="1"/>
  <c r="R6" i="49"/>
  <c r="F4" i="65" s="1"/>
  <c r="P5" i="49"/>
  <c r="D3" i="65" s="1"/>
  <c r="P9" i="49"/>
  <c r="D7" i="65" s="1"/>
  <c r="O7" i="49"/>
  <c r="C5" i="65" s="1"/>
  <c r="H11" i="67" s="1"/>
  <c r="O9" i="49"/>
  <c r="C7" i="65" s="1"/>
  <c r="R5" i="49"/>
  <c r="F3" i="65" s="1"/>
  <c r="E7" i="65"/>
  <c r="D56" i="35"/>
  <c r="AA54" i="35"/>
  <c r="AB54" i="35" s="1"/>
  <c r="AD54" i="35"/>
  <c r="K54" i="35"/>
  <c r="AC54" i="35"/>
  <c r="E55" i="35"/>
  <c r="AE56" i="35"/>
  <c r="Z56" i="35"/>
  <c r="C55" i="35" s="1"/>
  <c r="Z53" i="35"/>
  <c r="Y57" i="35"/>
  <c r="Y53" i="35"/>
  <c r="D50" i="35"/>
  <c r="Z50" i="35"/>
  <c r="AD50" i="35" s="1"/>
  <c r="K50" i="35" s="1"/>
  <c r="G50" i="35"/>
  <c r="Z51" i="35"/>
  <c r="Z44" i="35"/>
  <c r="AE44" i="35" s="1"/>
  <c r="Y44" i="35"/>
  <c r="Y36" i="35"/>
  <c r="Y37" i="35"/>
  <c r="AE37" i="35" s="1"/>
  <c r="Y29" i="35"/>
  <c r="AA29" i="35" s="1"/>
  <c r="AB29" i="35" s="1"/>
  <c r="Z30" i="35"/>
  <c r="F20" i="35"/>
  <c r="AA22" i="35"/>
  <c r="AB22" i="35" s="1"/>
  <c r="AC22" i="35"/>
  <c r="G22" i="35"/>
  <c r="Y20" i="35"/>
  <c r="Z23" i="35"/>
  <c r="Z12" i="35"/>
  <c r="G15" i="35"/>
  <c r="G8" i="35"/>
  <c r="Z6" i="35"/>
  <c r="E8" i="35" s="1"/>
  <c r="Z7" i="35"/>
  <c r="AA7" i="35" s="1"/>
  <c r="AB7" i="35" s="1"/>
  <c r="Z9" i="35"/>
  <c r="S58" i="35"/>
  <c r="G49" i="61" s="1"/>
  <c r="E43" i="61"/>
  <c r="S51" i="35"/>
  <c r="G43" i="61" s="1"/>
  <c r="O49" i="35"/>
  <c r="C41" i="61" s="1"/>
  <c r="P47" i="35"/>
  <c r="D39" i="61" s="1"/>
  <c r="H147" i="62" s="1"/>
  <c r="P50" i="35"/>
  <c r="D42" i="61" s="1"/>
  <c r="O50" i="35"/>
  <c r="C42" i="61" s="1"/>
  <c r="R42" i="35"/>
  <c r="F35" i="61" s="1"/>
  <c r="P44" i="35"/>
  <c r="D37" i="61" s="1"/>
  <c r="O44" i="35"/>
  <c r="C37" i="61" s="1"/>
  <c r="S42" i="35"/>
  <c r="G35" i="61" s="1"/>
  <c r="P43" i="35"/>
  <c r="D36" i="61" s="1"/>
  <c r="S44" i="35"/>
  <c r="G37" i="61" s="1"/>
  <c r="B26" i="61"/>
  <c r="S28" i="35"/>
  <c r="G23" i="61" s="1"/>
  <c r="B21" i="61"/>
  <c r="P25" i="35"/>
  <c r="D20" i="61" s="1"/>
  <c r="O18" i="35"/>
  <c r="A51" i="62" s="1"/>
  <c r="R12" i="35"/>
  <c r="P5" i="35"/>
  <c r="P8" i="35"/>
  <c r="H123" i="62"/>
  <c r="A155" i="62"/>
  <c r="C47" i="61"/>
  <c r="E12" i="35"/>
  <c r="C43" i="61"/>
  <c r="J51" i="35"/>
  <c r="F19" i="35"/>
  <c r="AA18" i="35"/>
  <c r="AB18" i="35" s="1"/>
  <c r="AF57" i="35"/>
  <c r="F55" i="35"/>
  <c r="AD18" i="35"/>
  <c r="K18" i="35" s="1"/>
  <c r="AE57" i="35"/>
  <c r="G55" i="35" s="1"/>
  <c r="C8" i="65"/>
  <c r="A27" i="67" s="1"/>
  <c r="Z2" i="11"/>
  <c r="E6" i="12" s="1"/>
  <c r="Y13" i="11"/>
  <c r="Z13" i="11" s="1"/>
  <c r="F24" i="12" s="1"/>
  <c r="Y14" i="11"/>
  <c r="AE19" i="35"/>
  <c r="K19" i="35"/>
  <c r="O11" i="35"/>
  <c r="P11" i="35"/>
  <c r="C20" i="61"/>
  <c r="B29" i="61"/>
  <c r="O35" i="35"/>
  <c r="G43" i="35"/>
  <c r="E34" i="61"/>
  <c r="R41" i="35"/>
  <c r="E40" i="61"/>
  <c r="R48" i="35"/>
  <c r="S48" i="35"/>
  <c r="G40" i="61" s="1"/>
  <c r="S57" i="35"/>
  <c r="G48" i="61" s="1"/>
  <c r="E48" i="61"/>
  <c r="R57" i="35"/>
  <c r="Y33" i="35"/>
  <c r="Z33" i="35"/>
  <c r="Y34" i="35"/>
  <c r="Z34" i="35"/>
  <c r="Z41" i="35"/>
  <c r="Y41" i="35"/>
  <c r="Z42" i="35"/>
  <c r="Y42" i="35"/>
  <c r="Z47" i="35"/>
  <c r="Y47" i="35"/>
  <c r="E13" i="65"/>
  <c r="R16" i="49"/>
  <c r="F13" i="65" s="1"/>
  <c r="R14" i="49"/>
  <c r="F11" i="65" s="1"/>
  <c r="E11" i="65"/>
  <c r="B14" i="65"/>
  <c r="O18" i="49"/>
  <c r="P18" i="49"/>
  <c r="D14" i="65" s="1"/>
  <c r="E23" i="65"/>
  <c r="R28" i="49"/>
  <c r="F23" i="65" s="1"/>
  <c r="Y11" i="49"/>
  <c r="Z11" i="49"/>
  <c r="AF11" i="49" s="1"/>
  <c r="Y19" i="49"/>
  <c r="Z19" i="49"/>
  <c r="Y22" i="49"/>
  <c r="Z22" i="49"/>
  <c r="Z27" i="49"/>
  <c r="Y27" i="49"/>
  <c r="Z29" i="49"/>
  <c r="Y29" i="49"/>
  <c r="Y30" i="49"/>
  <c r="Z30" i="49"/>
  <c r="AF30" i="49" s="1"/>
  <c r="D4" i="11"/>
  <c r="C4" i="11"/>
  <c r="S4" i="58"/>
  <c r="T4" i="58"/>
  <c r="S11" i="60"/>
  <c r="T11" i="60"/>
  <c r="T2" i="60"/>
  <c r="S2" i="60"/>
  <c r="M4" i="3"/>
  <c r="N4" i="3"/>
  <c r="N7" i="3"/>
  <c r="M7" i="3"/>
  <c r="C8" i="57"/>
  <c r="E3" i="58"/>
  <c r="K8" i="11"/>
  <c r="C30" i="12"/>
  <c r="K22" i="35"/>
  <c r="D22" i="35"/>
  <c r="F26" i="35"/>
  <c r="C34" i="35"/>
  <c r="M5" i="3"/>
  <c r="P26" i="49"/>
  <c r="D21" i="65" s="1"/>
  <c r="AF49" i="35"/>
  <c r="Z35" i="35"/>
  <c r="D33" i="35" s="1"/>
  <c r="Z26" i="35"/>
  <c r="E27" i="35" s="1"/>
  <c r="S14" i="49"/>
  <c r="G11" i="65" s="1"/>
  <c r="C5" i="11"/>
  <c r="Y9" i="60"/>
  <c r="Z21" i="49"/>
  <c r="AF21" i="49" s="1"/>
  <c r="J2" i="58"/>
  <c r="I2" i="58"/>
  <c r="D3" i="52"/>
  <c r="C3" i="52"/>
  <c r="G4" i="3"/>
  <c r="F4" i="3"/>
  <c r="R5" i="35"/>
  <c r="R8" i="35"/>
  <c r="S21" i="35"/>
  <c r="R21" i="35"/>
  <c r="O20" i="35"/>
  <c r="P20" i="35"/>
  <c r="D29" i="35"/>
  <c r="O13" i="35"/>
  <c r="P13" i="35"/>
  <c r="P23" i="35"/>
  <c r="E31" i="61"/>
  <c r="R37" i="35"/>
  <c r="F31" i="61" s="1"/>
  <c r="S37" i="35"/>
  <c r="G31" i="61" s="1"/>
  <c r="B27" i="61"/>
  <c r="O33" i="35"/>
  <c r="E36" i="61"/>
  <c r="S43" i="35"/>
  <c r="G36" i="61" s="1"/>
  <c r="C35" i="61"/>
  <c r="E33" i="61"/>
  <c r="R40" i="35"/>
  <c r="O39" i="35"/>
  <c r="P39" i="35"/>
  <c r="D32" i="61" s="1"/>
  <c r="B32" i="61"/>
  <c r="B43" i="61"/>
  <c r="P51" i="35"/>
  <c r="D43" i="61" s="1"/>
  <c r="E41" i="61"/>
  <c r="R49" i="35"/>
  <c r="F41" i="61" s="1"/>
  <c r="E39" i="61"/>
  <c r="R47" i="35"/>
  <c r="F39" i="61" s="1"/>
  <c r="C46" i="61"/>
  <c r="A179" i="62" s="1"/>
  <c r="C45" i="61"/>
  <c r="H171" i="62" s="1"/>
  <c r="M39" i="35"/>
  <c r="A32" i="61" s="1"/>
  <c r="M41" i="35"/>
  <c r="A34" i="61" s="1"/>
  <c r="Z4" i="35"/>
  <c r="Y4" i="35"/>
  <c r="Y5" i="35"/>
  <c r="Z5" i="35"/>
  <c r="Y28" i="35"/>
  <c r="Z28" i="35"/>
  <c r="Y40" i="35"/>
  <c r="Z40" i="35"/>
  <c r="Y43" i="35"/>
  <c r="E12" i="65"/>
  <c r="R15" i="49"/>
  <c r="B16" i="65"/>
  <c r="O20" i="49"/>
  <c r="P20" i="49"/>
  <c r="D16" i="65" s="1"/>
  <c r="B15" i="65"/>
  <c r="P19" i="49"/>
  <c r="D15" i="65" s="1"/>
  <c r="C25" i="65"/>
  <c r="H91" i="67" s="1"/>
  <c r="R27" i="49"/>
  <c r="S27" i="49"/>
  <c r="G22" i="65" s="1"/>
  <c r="E22" i="65"/>
  <c r="Y12" i="49"/>
  <c r="Y13" i="49"/>
  <c r="Z13" i="49"/>
  <c r="Z15" i="49"/>
  <c r="Z16" i="49"/>
  <c r="Y16" i="49"/>
  <c r="Y20" i="49"/>
  <c r="Y28" i="49"/>
  <c r="S7" i="58"/>
  <c r="T7" i="58"/>
  <c r="T5" i="58"/>
  <c r="U5" i="58" s="1"/>
  <c r="T3" i="58"/>
  <c r="S3" i="58"/>
  <c r="S16" i="60"/>
  <c r="T19" i="60"/>
  <c r="S19" i="60"/>
  <c r="S17" i="60"/>
  <c r="T17" i="60"/>
  <c r="M3" i="3"/>
  <c r="N3" i="3"/>
  <c r="N6" i="3"/>
  <c r="M6" i="3"/>
  <c r="M8" i="3"/>
  <c r="N8" i="3"/>
  <c r="K8" i="60"/>
  <c r="C30" i="59"/>
  <c r="E4" i="58"/>
  <c r="C12" i="57"/>
  <c r="C16" i="12"/>
  <c r="E5" i="11"/>
  <c r="D54" i="35"/>
  <c r="AA35" i="35"/>
  <c r="AB35" i="35" s="1"/>
  <c r="AD26" i="49"/>
  <c r="O26" i="49"/>
  <c r="P56" i="35"/>
  <c r="D47" i="61" s="1"/>
  <c r="P35" i="35"/>
  <c r="D29" i="61" s="1"/>
  <c r="C25" i="61"/>
  <c r="H91" i="62" s="1"/>
  <c r="AE55" i="35"/>
  <c r="G57" i="35" s="1"/>
  <c r="Z20" i="49"/>
  <c r="S41" i="35"/>
  <c r="G34" i="61" s="1"/>
  <c r="S49" i="35"/>
  <c r="G41" i="61" s="1"/>
  <c r="S28" i="49"/>
  <c r="G23" i="65" s="1"/>
  <c r="G36" i="35"/>
  <c r="I6" i="60"/>
  <c r="J6" i="60"/>
  <c r="F6" i="3"/>
  <c r="G6" i="3"/>
  <c r="AA20" i="35"/>
  <c r="AB20" i="35" s="1"/>
  <c r="E22" i="35"/>
  <c r="F21" i="35"/>
  <c r="U2" i="11"/>
  <c r="W2" i="11"/>
  <c r="AA25" i="49"/>
  <c r="AB25" i="49" s="1"/>
  <c r="AA6" i="35"/>
  <c r="AB6" i="35" s="1"/>
  <c r="G4" i="52"/>
  <c r="F4" i="52"/>
  <c r="P9" i="35"/>
  <c r="O9" i="35"/>
  <c r="S14" i="35"/>
  <c r="O12" i="35"/>
  <c r="O19" i="35"/>
  <c r="P19" i="35"/>
  <c r="B31" i="61"/>
  <c r="P37" i="35"/>
  <c r="D31" i="61" s="1"/>
  <c r="O37" i="35"/>
  <c r="R35" i="35"/>
  <c r="F29" i="61" s="1"/>
  <c r="E29" i="61"/>
  <c r="B49" i="61"/>
  <c r="O58" i="35"/>
  <c r="P58" i="35"/>
  <c r="D49" i="61" s="1"/>
  <c r="A171" i="62"/>
  <c r="Y8" i="35"/>
  <c r="Z8" i="35"/>
  <c r="Y13" i="35"/>
  <c r="Z15" i="35"/>
  <c r="Y21" i="35"/>
  <c r="F27" i="35"/>
  <c r="AD29" i="35"/>
  <c r="K29" i="35" s="1"/>
  <c r="Y39" i="35"/>
  <c r="Z39" i="35"/>
  <c r="Z48" i="35"/>
  <c r="Z55" i="35"/>
  <c r="E57" i="35" s="1"/>
  <c r="Z58" i="35"/>
  <c r="M13" i="49"/>
  <c r="A10" i="65" s="1"/>
  <c r="A34" i="67" s="1"/>
  <c r="M11" i="49"/>
  <c r="A8" i="65" s="1"/>
  <c r="A26" i="67" s="1"/>
  <c r="M16" i="49"/>
  <c r="A13" i="65" s="1"/>
  <c r="H42" i="67" s="1"/>
  <c r="Y5" i="49"/>
  <c r="AF5" i="49" s="1"/>
  <c r="AD8" i="49"/>
  <c r="K8" i="49" s="1"/>
  <c r="D8" i="49"/>
  <c r="T8" i="60"/>
  <c r="S11" i="11"/>
  <c r="T11" i="11"/>
  <c r="S12" i="11"/>
  <c r="T4" i="11"/>
  <c r="S5" i="11"/>
  <c r="T5" i="11"/>
  <c r="T8" i="11"/>
  <c r="M8" i="52"/>
  <c r="N8" i="52"/>
  <c r="M19" i="3"/>
  <c r="I7" i="60"/>
  <c r="J7" i="60"/>
  <c r="P4" i="35"/>
  <c r="O7" i="35"/>
  <c r="P7" i="35"/>
  <c r="R16" i="35"/>
  <c r="A43" i="62"/>
  <c r="S22" i="35"/>
  <c r="R22" i="35"/>
  <c r="O21" i="35"/>
  <c r="P21" i="35"/>
  <c r="C22" i="61"/>
  <c r="E32" i="61"/>
  <c r="R39" i="35"/>
  <c r="F32" i="61" s="1"/>
  <c r="B38" i="61"/>
  <c r="O46" i="35"/>
  <c r="P46" i="35"/>
  <c r="D38" i="61" s="1"/>
  <c r="Y14" i="35"/>
  <c r="Z14" i="35"/>
  <c r="AF14" i="35" s="1"/>
  <c r="Y32" i="35"/>
  <c r="F34" i="35"/>
  <c r="AC36" i="35"/>
  <c r="C3" i="65"/>
  <c r="I8" i="60"/>
  <c r="J8" i="60"/>
  <c r="C2" i="52"/>
  <c r="D2" i="52"/>
  <c r="M5" i="52"/>
  <c r="N5" i="52"/>
  <c r="C2" i="3"/>
  <c r="D2" i="3"/>
  <c r="M11" i="3"/>
  <c r="M6" i="35"/>
  <c r="A10" i="62" s="1"/>
  <c r="M5" i="35"/>
  <c r="O14" i="35"/>
  <c r="P14" i="35"/>
  <c r="E21" i="61"/>
  <c r="R26" i="35"/>
  <c r="F21" i="61" s="1"/>
  <c r="A187" i="62"/>
  <c r="Y15" i="35"/>
  <c r="Y46" i="35"/>
  <c r="B2" i="65"/>
  <c r="O4" i="49"/>
  <c r="A91" i="67"/>
  <c r="A83" i="67"/>
  <c r="E20" i="65"/>
  <c r="R25" i="49"/>
  <c r="Y4" i="49"/>
  <c r="Z23" i="49"/>
  <c r="T3" i="11"/>
  <c r="B34" i="61"/>
  <c r="H67" i="67"/>
  <c r="A11" i="62"/>
  <c r="O16" i="35"/>
  <c r="B28" i="61"/>
  <c r="P34" i="35"/>
  <c r="D28" i="61" s="1"/>
  <c r="Y11" i="35"/>
  <c r="Y27" i="35"/>
  <c r="Z43" i="35"/>
  <c r="Y48" i="35"/>
  <c r="B13" i="65"/>
  <c r="O16" i="49"/>
  <c r="B11" i="65"/>
  <c r="O14" i="49"/>
  <c r="P28" i="49"/>
  <c r="D23" i="65" s="1"/>
  <c r="O28" i="49"/>
  <c r="N3" i="52"/>
  <c r="N9" i="3"/>
  <c r="A99" i="62"/>
  <c r="A35" i="67"/>
  <c r="H59" i="67"/>
  <c r="M26" i="49"/>
  <c r="A21" i="65" s="1"/>
  <c r="H74" i="67" s="1"/>
  <c r="M29" i="49"/>
  <c r="A24" i="65" s="1"/>
  <c r="A90" i="67" s="1"/>
  <c r="M30" i="49"/>
  <c r="A25" i="65" s="1"/>
  <c r="H90" i="67" s="1"/>
  <c r="M25" i="49"/>
  <c r="A20" i="65" s="1"/>
  <c r="A74" i="67" s="1"/>
  <c r="M22" i="49"/>
  <c r="A18" i="65" s="1"/>
  <c r="A66" i="67" s="1"/>
  <c r="M19" i="49"/>
  <c r="A15" i="65" s="1"/>
  <c r="H50" i="67" s="1"/>
  <c r="M6" i="49"/>
  <c r="A4" i="65" s="1"/>
  <c r="A10" i="67" s="1"/>
  <c r="M7" i="49"/>
  <c r="A5" i="65" s="1"/>
  <c r="H10" i="67" s="1"/>
  <c r="M4" i="49"/>
  <c r="A2" i="65" s="1"/>
  <c r="A2" i="67" s="1"/>
  <c r="M55" i="35"/>
  <c r="A46" i="61" s="1"/>
  <c r="M58" i="35"/>
  <c r="A49" i="61" s="1"/>
  <c r="M56" i="35"/>
  <c r="A47" i="61" s="1"/>
  <c r="H178" i="62" s="1"/>
  <c r="M54" i="35"/>
  <c r="A45" i="61" s="1"/>
  <c r="M47" i="35"/>
  <c r="A39" i="61" s="1"/>
  <c r="M50" i="35"/>
  <c r="A42" i="61" s="1"/>
  <c r="A162" i="62" s="1"/>
  <c r="M30" i="35"/>
  <c r="A25" i="61" s="1"/>
  <c r="H90" i="62" s="1"/>
  <c r="M19" i="35"/>
  <c r="M18" i="35"/>
  <c r="A50" i="62" s="1"/>
  <c r="M20" i="35"/>
  <c r="A58" i="62" s="1"/>
  <c r="M14" i="35"/>
  <c r="M13" i="35"/>
  <c r="A178" i="62"/>
  <c r="A186" i="62"/>
  <c r="H170" i="62"/>
  <c r="A170" i="62"/>
  <c r="A154" i="62"/>
  <c r="A146" i="62"/>
  <c r="H162" i="62"/>
  <c r="H154" i="62"/>
  <c r="H146" i="62"/>
  <c r="A122" i="62"/>
  <c r="A130" i="62"/>
  <c r="M42" i="35"/>
  <c r="A35" i="61" s="1"/>
  <c r="M40" i="35"/>
  <c r="A33" i="61" s="1"/>
  <c r="M43" i="35"/>
  <c r="A36" i="61" s="1"/>
  <c r="M44" i="35"/>
  <c r="A37" i="61" s="1"/>
  <c r="A98" i="62"/>
  <c r="H106" i="62"/>
  <c r="A114" i="62"/>
  <c r="A106" i="62"/>
  <c r="H98" i="62"/>
  <c r="H114" i="62"/>
  <c r="H74" i="62"/>
  <c r="A82" i="62"/>
  <c r="H82" i="62"/>
  <c r="A74" i="62"/>
  <c r="A90" i="62"/>
  <c r="H50" i="62"/>
  <c r="H58" i="62"/>
  <c r="M23" i="35"/>
  <c r="M22" i="35"/>
  <c r="A34" i="62"/>
  <c r="A26" i="62"/>
  <c r="M12" i="35"/>
  <c r="M16" i="35"/>
  <c r="M15" i="35"/>
  <c r="A18" i="62"/>
  <c r="H18" i="62"/>
  <c r="H2" i="62"/>
  <c r="H10" i="62"/>
  <c r="A4" i="64" l="1"/>
  <c r="A13" i="64"/>
  <c r="A31" i="64"/>
  <c r="D13" i="64"/>
  <c r="H4" i="64"/>
  <c r="L3" i="11"/>
  <c r="G9" i="63"/>
  <c r="F9" i="63"/>
  <c r="A19" i="67"/>
  <c r="D19" i="67"/>
  <c r="A83" i="62"/>
  <c r="A91" i="62"/>
  <c r="A139" i="62"/>
  <c r="Y17" i="11"/>
  <c r="Z17" i="11" s="1"/>
  <c r="G28" i="12" s="1"/>
  <c r="Y16" i="11"/>
  <c r="Z16" i="11" s="1"/>
  <c r="G12" i="12" s="1"/>
  <c r="Q10" i="52"/>
  <c r="R10" i="52" s="1"/>
  <c r="G13" i="51" s="1"/>
  <c r="U8" i="11"/>
  <c r="B14" i="11" s="1"/>
  <c r="U7" i="11"/>
  <c r="V7" i="11" s="1"/>
  <c r="E24" i="12" s="1"/>
  <c r="Y7" i="11"/>
  <c r="Z7" i="11" s="1"/>
  <c r="E26" i="12" s="1"/>
  <c r="U4" i="11"/>
  <c r="B12" i="11" s="1"/>
  <c r="U12" i="11" s="1"/>
  <c r="Y6" i="11"/>
  <c r="Z6" i="11" s="1"/>
  <c r="E22" i="12" s="1"/>
  <c r="R4" i="52"/>
  <c r="E15" i="51" s="1"/>
  <c r="R7" i="52"/>
  <c r="F9" i="51" s="1"/>
  <c r="Z14" i="60"/>
  <c r="F32" i="59" s="1"/>
  <c r="Z13" i="60"/>
  <c r="F24" i="59" s="1"/>
  <c r="Y13" i="60"/>
  <c r="Y12" i="60"/>
  <c r="Z12" i="60" s="1"/>
  <c r="F16" i="59" s="1"/>
  <c r="W3" i="60"/>
  <c r="X3" i="60" s="1"/>
  <c r="E9" i="59" s="1"/>
  <c r="Q16" i="3"/>
  <c r="R16" i="3" s="1"/>
  <c r="G12" i="4" s="1"/>
  <c r="Q17" i="3"/>
  <c r="R17" i="3" s="1"/>
  <c r="G28" i="4" s="1"/>
  <c r="Y8" i="58"/>
  <c r="Z8" i="58" s="1"/>
  <c r="F16" i="57" s="1"/>
  <c r="Y2" i="58"/>
  <c r="Z2" i="58" s="1"/>
  <c r="E6" i="57" s="1"/>
  <c r="U2" i="58"/>
  <c r="B7" i="58" s="1"/>
  <c r="C7" i="58" s="1"/>
  <c r="Y6" i="60"/>
  <c r="Z6" i="60" s="1"/>
  <c r="E22" i="59" s="1"/>
  <c r="U5" i="60"/>
  <c r="V5" i="60" s="1"/>
  <c r="E16" i="59" s="1"/>
  <c r="Y5" i="60"/>
  <c r="Z5" i="60" s="1"/>
  <c r="E18" i="59" s="1"/>
  <c r="B12" i="60"/>
  <c r="C12" i="60" s="1"/>
  <c r="U12" i="60"/>
  <c r="H16" i="60" s="1"/>
  <c r="Z7" i="60"/>
  <c r="E26" i="59" s="1"/>
  <c r="Y7" i="60"/>
  <c r="U3" i="60"/>
  <c r="U6" i="60"/>
  <c r="U7" i="60"/>
  <c r="B8" i="52"/>
  <c r="C8" i="52" s="1"/>
  <c r="O2" i="52"/>
  <c r="Q2" i="52"/>
  <c r="R2" i="52"/>
  <c r="E7" i="51" s="1"/>
  <c r="O2" i="3"/>
  <c r="B11" i="3" s="1"/>
  <c r="R2" i="3"/>
  <c r="E6" i="4" s="1"/>
  <c r="Q9" i="3"/>
  <c r="R9" i="3" s="1"/>
  <c r="E34" i="4" s="1"/>
  <c r="AF23" i="49"/>
  <c r="V2" i="58"/>
  <c r="E4" i="57" s="1"/>
  <c r="G7" i="11"/>
  <c r="H13" i="64"/>
  <c r="AF9" i="49"/>
  <c r="AE9" i="49"/>
  <c r="G7" i="49" s="1"/>
  <c r="AF22" i="49"/>
  <c r="AF19" i="49"/>
  <c r="AC18" i="49"/>
  <c r="AD18" i="49" s="1"/>
  <c r="C22" i="49"/>
  <c r="AA18" i="49"/>
  <c r="AB18" i="49" s="1"/>
  <c r="F19" i="49"/>
  <c r="AF18" i="49"/>
  <c r="K18" i="49"/>
  <c r="AF16" i="49"/>
  <c r="D15" i="49"/>
  <c r="AE15" i="49"/>
  <c r="AF15" i="49"/>
  <c r="G15" i="49" s="1"/>
  <c r="AA15" i="49"/>
  <c r="AB15" i="49" s="1"/>
  <c r="AC15" i="49"/>
  <c r="AD15" i="49" s="1"/>
  <c r="C13" i="49"/>
  <c r="AA14" i="49"/>
  <c r="AB14" i="49" s="1"/>
  <c r="K14" i="49"/>
  <c r="D12" i="49"/>
  <c r="AC14" i="49"/>
  <c r="AD14" i="49" s="1"/>
  <c r="AE14" i="49"/>
  <c r="AF13" i="49"/>
  <c r="AE13" i="49"/>
  <c r="AE7" i="49"/>
  <c r="AC7" i="49"/>
  <c r="AD7" i="49" s="1"/>
  <c r="K7" i="49" s="1"/>
  <c r="D5" i="49"/>
  <c r="C6" i="49"/>
  <c r="AF16" i="35"/>
  <c r="AA16" i="35"/>
  <c r="AB16" i="35" s="1"/>
  <c r="AE16" i="35"/>
  <c r="C14" i="35"/>
  <c r="AC16" i="35"/>
  <c r="AD16" i="35" s="1"/>
  <c r="K16" i="35" s="1"/>
  <c r="E47" i="35"/>
  <c r="AC51" i="35"/>
  <c r="AD51" i="35" s="1"/>
  <c r="K51" i="35" s="1"/>
  <c r="AP51" i="35" s="1"/>
  <c r="AF51" i="35"/>
  <c r="G47" i="35" s="1"/>
  <c r="AA51" i="35"/>
  <c r="AB51" i="35" s="1"/>
  <c r="AE51" i="35"/>
  <c r="D47" i="35"/>
  <c r="AA49" i="35"/>
  <c r="AB49" i="35" s="1"/>
  <c r="C48" i="35"/>
  <c r="AC49" i="35"/>
  <c r="AD49" i="35" s="1"/>
  <c r="K49" i="35" s="1"/>
  <c r="E40" i="35"/>
  <c r="AA44" i="35"/>
  <c r="AB44" i="35" s="1"/>
  <c r="AF44" i="35"/>
  <c r="AC44" i="35"/>
  <c r="AD44" i="35" s="1"/>
  <c r="K44" i="35" s="1"/>
  <c r="E33" i="35"/>
  <c r="AF37" i="35"/>
  <c r="AE35" i="35"/>
  <c r="G33" i="35" s="1"/>
  <c r="AE30" i="35"/>
  <c r="C28" i="35"/>
  <c r="E26" i="35"/>
  <c r="AA30" i="35"/>
  <c r="AB30" i="35" s="1"/>
  <c r="AF30" i="35"/>
  <c r="AF28" i="35"/>
  <c r="C21" i="35"/>
  <c r="AF23" i="35"/>
  <c r="AE23" i="35"/>
  <c r="AA23" i="35"/>
  <c r="AB23" i="35" s="1"/>
  <c r="G21" i="35"/>
  <c r="E13" i="35"/>
  <c r="AF12" i="35"/>
  <c r="G14" i="35"/>
  <c r="AE12" i="35"/>
  <c r="G13" i="35" s="1"/>
  <c r="AE9" i="35"/>
  <c r="AA9" i="35"/>
  <c r="AB9" i="35" s="1"/>
  <c r="E5" i="35"/>
  <c r="AF9" i="35"/>
  <c r="C6" i="35"/>
  <c r="AF7" i="35"/>
  <c r="AC7" i="35"/>
  <c r="AD7" i="35" s="1"/>
  <c r="K7" i="35" s="1"/>
  <c r="AE7" i="35"/>
  <c r="D5" i="35"/>
  <c r="AF5" i="35"/>
  <c r="W7" i="60"/>
  <c r="K13" i="60" s="1"/>
  <c r="L13" i="60" s="1"/>
  <c r="G7" i="60"/>
  <c r="W6" i="60"/>
  <c r="X6" i="60" s="1"/>
  <c r="E21" i="59" s="1"/>
  <c r="G5" i="58"/>
  <c r="M4" i="58"/>
  <c r="F8" i="60"/>
  <c r="F6" i="60"/>
  <c r="M2" i="11"/>
  <c r="F2" i="58"/>
  <c r="L5" i="58"/>
  <c r="W2" i="58"/>
  <c r="E7" i="58" s="1"/>
  <c r="F7" i="58" s="1"/>
  <c r="F3" i="60"/>
  <c r="W4" i="60"/>
  <c r="E12" i="60" s="1"/>
  <c r="M2" i="60"/>
  <c r="F9" i="11"/>
  <c r="M4" i="60"/>
  <c r="W6" i="11"/>
  <c r="E13" i="11" s="1"/>
  <c r="F13" i="11" s="1"/>
  <c r="L9" i="60"/>
  <c r="L7" i="11"/>
  <c r="L2" i="58"/>
  <c r="F5" i="60"/>
  <c r="G4" i="60"/>
  <c r="W9" i="60"/>
  <c r="X9" i="60" s="1"/>
  <c r="E33" i="59" s="1"/>
  <c r="L6" i="11"/>
  <c r="M3" i="60"/>
  <c r="W5" i="58"/>
  <c r="K8" i="58" s="1"/>
  <c r="W7" i="11"/>
  <c r="K13" i="11" s="1"/>
  <c r="L3" i="60"/>
  <c r="W5" i="60"/>
  <c r="K12" i="60" s="1"/>
  <c r="M6" i="60"/>
  <c r="F2" i="60"/>
  <c r="M7" i="60"/>
  <c r="M3" i="58"/>
  <c r="F6" i="11"/>
  <c r="L5" i="60"/>
  <c r="F9" i="60"/>
  <c r="G9" i="60"/>
  <c r="AE11" i="49"/>
  <c r="E20" i="35"/>
  <c r="D21" i="35"/>
  <c r="AA19" i="35"/>
  <c r="AB19" i="35" s="1"/>
  <c r="AF40" i="35"/>
  <c r="G42" i="35" s="1"/>
  <c r="J36" i="35"/>
  <c r="H75" i="62"/>
  <c r="A67" i="62"/>
  <c r="A131" i="62"/>
  <c r="H155" i="62"/>
  <c r="J43" i="35"/>
  <c r="H131" i="62"/>
  <c r="D163" i="62"/>
  <c r="K179" i="62"/>
  <c r="D75" i="62"/>
  <c r="H12" i="60"/>
  <c r="J12" i="60" s="1"/>
  <c r="J23" i="35"/>
  <c r="D3" i="62"/>
  <c r="J29" i="35"/>
  <c r="AP29" i="35" s="1"/>
  <c r="K99" i="62"/>
  <c r="K171" i="62"/>
  <c r="J56" i="35"/>
  <c r="AP56" i="35" s="1"/>
  <c r="D27" i="67"/>
  <c r="D51" i="62"/>
  <c r="K67" i="67"/>
  <c r="J15" i="35"/>
  <c r="J8" i="49"/>
  <c r="AP8" i="49" s="1"/>
  <c r="J34" i="35"/>
  <c r="K51" i="67"/>
  <c r="D35" i="62"/>
  <c r="D83" i="62"/>
  <c r="D59" i="62"/>
  <c r="D107" i="62"/>
  <c r="K59" i="67"/>
  <c r="J21" i="49"/>
  <c r="D35" i="67"/>
  <c r="J6" i="35"/>
  <c r="AP6" i="35" s="1"/>
  <c r="D11" i="67"/>
  <c r="D91" i="62"/>
  <c r="J30" i="35"/>
  <c r="J50" i="35"/>
  <c r="AP50" i="35" s="1"/>
  <c r="D43" i="62"/>
  <c r="J27" i="35"/>
  <c r="AP27" i="35" s="1"/>
  <c r="J28" i="35"/>
  <c r="X9" i="11"/>
  <c r="E33" i="12" s="1"/>
  <c r="D147" i="62"/>
  <c r="D115" i="62"/>
  <c r="K83" i="62"/>
  <c r="D91" i="67"/>
  <c r="J22" i="49"/>
  <c r="K11" i="62"/>
  <c r="J54" i="35"/>
  <c r="AP54" i="35" s="1"/>
  <c r="K27" i="67"/>
  <c r="D51" i="67"/>
  <c r="K91" i="67"/>
  <c r="D171" i="62"/>
  <c r="K19" i="62"/>
  <c r="J53" i="35"/>
  <c r="J23" i="49"/>
  <c r="K187" i="62"/>
  <c r="W14" i="11"/>
  <c r="X14" i="11" s="1"/>
  <c r="F31" i="12" s="1"/>
  <c r="J14" i="60"/>
  <c r="K27" i="62"/>
  <c r="D179" i="62"/>
  <c r="D12" i="60"/>
  <c r="J29" i="49"/>
  <c r="V9" i="60"/>
  <c r="E32" i="59" s="1"/>
  <c r="J25" i="35"/>
  <c r="AP25" i="35" s="1"/>
  <c r="J11" i="49"/>
  <c r="J19" i="49"/>
  <c r="L14" i="11"/>
  <c r="K67" i="62"/>
  <c r="D11" i="62"/>
  <c r="D27" i="62"/>
  <c r="D59" i="67"/>
  <c r="K75" i="67"/>
  <c r="J13" i="49"/>
  <c r="J4" i="35"/>
  <c r="K139" i="62"/>
  <c r="H14" i="11"/>
  <c r="V9" i="11"/>
  <c r="E32" i="12" s="1"/>
  <c r="F26" i="61"/>
  <c r="D99" i="62" s="1"/>
  <c r="J55" i="35"/>
  <c r="D67" i="67"/>
  <c r="K163" i="62"/>
  <c r="H3" i="67"/>
  <c r="A163" i="62"/>
  <c r="A11" i="67"/>
  <c r="D3" i="67"/>
  <c r="H3" i="62"/>
  <c r="J42" i="35"/>
  <c r="K131" i="62"/>
  <c r="H27" i="67"/>
  <c r="K19" i="67"/>
  <c r="H19" i="67"/>
  <c r="A75" i="62"/>
  <c r="J9" i="49"/>
  <c r="H139" i="62"/>
  <c r="K3" i="67"/>
  <c r="K11" i="67"/>
  <c r="J7" i="49"/>
  <c r="AP7" i="49" s="1"/>
  <c r="AA26" i="49"/>
  <c r="AB26" i="49" s="1"/>
  <c r="D28" i="49"/>
  <c r="C20" i="49"/>
  <c r="E19" i="49"/>
  <c r="D19" i="49"/>
  <c r="C7" i="49"/>
  <c r="AA9" i="49"/>
  <c r="AB9" i="49" s="1"/>
  <c r="AC9" i="49"/>
  <c r="AD9" i="49" s="1"/>
  <c r="K9" i="49" s="1"/>
  <c r="E5" i="49"/>
  <c r="F6" i="49"/>
  <c r="AC8" i="49"/>
  <c r="AA8" i="49"/>
  <c r="AB8" i="49" s="1"/>
  <c r="F7" i="49"/>
  <c r="AA6" i="49"/>
  <c r="AB6" i="49" s="1"/>
  <c r="AD6" i="49"/>
  <c r="K6" i="49" s="1"/>
  <c r="AC6" i="49"/>
  <c r="J30" i="49"/>
  <c r="AP30" i="49" s="1"/>
  <c r="J12" i="49"/>
  <c r="J5" i="49"/>
  <c r="J6" i="49"/>
  <c r="AP6" i="49" s="1"/>
  <c r="AA56" i="35"/>
  <c r="AB56" i="35" s="1"/>
  <c r="F54" i="35"/>
  <c r="C57" i="35"/>
  <c r="AC53" i="35"/>
  <c r="AA53" i="35"/>
  <c r="AB53" i="35" s="1"/>
  <c r="AD53" i="35"/>
  <c r="K53" i="35" s="1"/>
  <c r="AC56" i="35"/>
  <c r="AD56" i="35" s="1"/>
  <c r="K56" i="35" s="1"/>
  <c r="AO55" i="35"/>
  <c r="AC57" i="35"/>
  <c r="AA57" i="35"/>
  <c r="AB57" i="35" s="1"/>
  <c r="D57" i="35"/>
  <c r="AD57" i="35"/>
  <c r="K57" i="35" s="1"/>
  <c r="F48" i="35"/>
  <c r="AA50" i="35"/>
  <c r="AB50" i="35" s="1"/>
  <c r="C49" i="35"/>
  <c r="AC50" i="35"/>
  <c r="C42" i="35"/>
  <c r="AA37" i="35"/>
  <c r="AB37" i="35" s="1"/>
  <c r="C35" i="35"/>
  <c r="AC37" i="35"/>
  <c r="AD37" i="35" s="1"/>
  <c r="K37" i="35" s="1"/>
  <c r="K36" i="35"/>
  <c r="AD36" i="35"/>
  <c r="AA36" i="35"/>
  <c r="AB36" i="35" s="1"/>
  <c r="D36" i="35"/>
  <c r="AC30" i="35"/>
  <c r="AD30" i="35" s="1"/>
  <c r="K30" i="35" s="1"/>
  <c r="AC29" i="35"/>
  <c r="AC23" i="35"/>
  <c r="AD23" i="35" s="1"/>
  <c r="K23" i="35" s="1"/>
  <c r="AO22" i="35"/>
  <c r="AD20" i="35"/>
  <c r="K20" i="35" s="1"/>
  <c r="AC20" i="35"/>
  <c r="D14" i="35"/>
  <c r="K12" i="35"/>
  <c r="AA12" i="35"/>
  <c r="AB12" i="35" s="1"/>
  <c r="AC12" i="35"/>
  <c r="AD12" i="35" s="1"/>
  <c r="F7" i="35"/>
  <c r="AD6" i="35"/>
  <c r="K6" i="35" s="1"/>
  <c r="AC6" i="35"/>
  <c r="C7" i="35"/>
  <c r="K9" i="35"/>
  <c r="AC9" i="35"/>
  <c r="AD9" i="35" s="1"/>
  <c r="J44" i="35"/>
  <c r="J18" i="35"/>
  <c r="AP18" i="35" s="1"/>
  <c r="A19" i="62"/>
  <c r="H51" i="67"/>
  <c r="A107" i="62"/>
  <c r="K43" i="62"/>
  <c r="K115" i="62"/>
  <c r="K107" i="62"/>
  <c r="D139" i="62"/>
  <c r="H179" i="62"/>
  <c r="V8" i="11"/>
  <c r="E28" i="12" s="1"/>
  <c r="AO29" i="35"/>
  <c r="AA48" i="35"/>
  <c r="AB48" i="35" s="1"/>
  <c r="AC48" i="35"/>
  <c r="AD48" i="35"/>
  <c r="F49" i="35"/>
  <c r="K48" i="35"/>
  <c r="E50" i="35"/>
  <c r="C8" i="49"/>
  <c r="AO8" i="49" s="1"/>
  <c r="AD4" i="49"/>
  <c r="K4" i="49" s="1"/>
  <c r="AC4" i="49"/>
  <c r="AA4" i="49"/>
  <c r="AB4" i="49" s="1"/>
  <c r="F5" i="49"/>
  <c r="Y12" i="11"/>
  <c r="Z12" i="11"/>
  <c r="F16" i="12" s="1"/>
  <c r="E54" i="35"/>
  <c r="AC58" i="35"/>
  <c r="AF58" i="35"/>
  <c r="G54" i="35" s="1"/>
  <c r="AA58" i="35"/>
  <c r="AB58" i="35" s="1"/>
  <c r="C56" i="35"/>
  <c r="AD58" i="35"/>
  <c r="AE58" i="35"/>
  <c r="K58" i="35"/>
  <c r="AC39" i="35"/>
  <c r="AA39" i="35"/>
  <c r="AB39" i="35" s="1"/>
  <c r="AD39" i="35"/>
  <c r="F40" i="35"/>
  <c r="C43" i="35"/>
  <c r="K39" i="35"/>
  <c r="C49" i="61"/>
  <c r="H187" i="62" s="1"/>
  <c r="J58" i="35"/>
  <c r="AP58" i="35" s="1"/>
  <c r="C31" i="61"/>
  <c r="H115" i="62" s="1"/>
  <c r="J37" i="35"/>
  <c r="AP37" i="35" s="1"/>
  <c r="J26" i="49"/>
  <c r="AP26" i="49" s="1"/>
  <c r="C21" i="65"/>
  <c r="H75" i="67" s="1"/>
  <c r="M8" i="60"/>
  <c r="L8" i="60"/>
  <c r="Y16" i="60"/>
  <c r="Z16" i="60" s="1"/>
  <c r="G12" i="59" s="1"/>
  <c r="AC20" i="49"/>
  <c r="AE20" i="49"/>
  <c r="G22" i="49" s="1"/>
  <c r="F21" i="49"/>
  <c r="E22" i="49"/>
  <c r="AD20" i="49"/>
  <c r="AA20" i="49"/>
  <c r="AB20" i="49" s="1"/>
  <c r="K20" i="49"/>
  <c r="C16" i="65"/>
  <c r="A59" i="67" s="1"/>
  <c r="J20" i="49"/>
  <c r="F12" i="65"/>
  <c r="D43" i="67" s="1"/>
  <c r="J15" i="49"/>
  <c r="AC4" i="35"/>
  <c r="K4" i="35"/>
  <c r="AA4" i="35"/>
  <c r="AB4" i="35" s="1"/>
  <c r="C8" i="35"/>
  <c r="AD4" i="35"/>
  <c r="F5" i="35"/>
  <c r="C32" i="61"/>
  <c r="A123" i="62" s="1"/>
  <c r="J39" i="35"/>
  <c r="AP39" i="35" s="1"/>
  <c r="A35" i="62"/>
  <c r="J13" i="35"/>
  <c r="W8" i="11"/>
  <c r="D19" i="62"/>
  <c r="J8" i="35"/>
  <c r="J47" i="35"/>
  <c r="O5" i="3"/>
  <c r="Q5" i="3"/>
  <c r="R5" i="3" s="1"/>
  <c r="E18" i="4" s="1"/>
  <c r="Y4" i="58"/>
  <c r="Z4" i="58" s="1"/>
  <c r="E14" i="57" s="1"/>
  <c r="U4" i="58"/>
  <c r="W4" i="58"/>
  <c r="AC27" i="49"/>
  <c r="E29" i="49"/>
  <c r="F28" i="49"/>
  <c r="AA27" i="49"/>
  <c r="AB27" i="49" s="1"/>
  <c r="AD27" i="49"/>
  <c r="K27" i="49" s="1"/>
  <c r="F12" i="49"/>
  <c r="C15" i="49"/>
  <c r="AC11" i="49"/>
  <c r="AD11" i="49" s="1"/>
  <c r="K11" i="49"/>
  <c r="AA11" i="49"/>
  <c r="AB11" i="49" s="1"/>
  <c r="C14" i="65"/>
  <c r="A51" i="67" s="1"/>
  <c r="J18" i="49"/>
  <c r="AC42" i="35"/>
  <c r="AD42" i="35" s="1"/>
  <c r="AE42" i="35"/>
  <c r="K42" i="35"/>
  <c r="C41" i="35"/>
  <c r="D40" i="35"/>
  <c r="AA42" i="35"/>
  <c r="AB42" i="35" s="1"/>
  <c r="E34" i="35"/>
  <c r="AE33" i="35"/>
  <c r="AC33" i="35"/>
  <c r="AD33" i="35" s="1"/>
  <c r="K33" i="35" s="1"/>
  <c r="AA33" i="35"/>
  <c r="AB33" i="35" s="1"/>
  <c r="D35" i="35"/>
  <c r="A27" i="62"/>
  <c r="J11" i="35"/>
  <c r="AO57" i="35"/>
  <c r="Q3" i="52"/>
  <c r="R3" i="52" s="1"/>
  <c r="E11" i="51" s="1"/>
  <c r="F20" i="65"/>
  <c r="D75" i="67" s="1"/>
  <c r="J25" i="49"/>
  <c r="AP25" i="49" s="1"/>
  <c r="F47" i="35"/>
  <c r="AD46" i="35"/>
  <c r="K46" i="35" s="1"/>
  <c r="AA46" i="35"/>
  <c r="AB46" i="35" s="1"/>
  <c r="AC46" i="35"/>
  <c r="C50" i="35"/>
  <c r="AO50" i="35" s="1"/>
  <c r="Q11" i="3"/>
  <c r="R11" i="3" s="1"/>
  <c r="F8" i="4" s="1"/>
  <c r="Q5" i="52"/>
  <c r="R5" i="52" s="1"/>
  <c r="E19" i="51" s="1"/>
  <c r="O5" i="52"/>
  <c r="F33" i="35"/>
  <c r="AA32" i="35"/>
  <c r="AB32" i="35" s="1"/>
  <c r="AD32" i="35"/>
  <c r="K32" i="35" s="1"/>
  <c r="AP32" i="35" s="1"/>
  <c r="C36" i="35"/>
  <c r="AC32" i="35"/>
  <c r="D123" i="62"/>
  <c r="A3" i="62"/>
  <c r="O3" i="52"/>
  <c r="Q19" i="3"/>
  <c r="R19" i="3" s="1"/>
  <c r="H20" i="4" s="1"/>
  <c r="AF55" i="35"/>
  <c r="G56" i="35" s="1"/>
  <c r="AA55" i="35"/>
  <c r="AB55" i="35" s="1"/>
  <c r="F56" i="35"/>
  <c r="K13" i="35"/>
  <c r="F14" i="35"/>
  <c r="AD13" i="35"/>
  <c r="AA13" i="35"/>
  <c r="AB13" i="35" s="1"/>
  <c r="AC13" i="35"/>
  <c r="E15" i="35"/>
  <c r="H51" i="62"/>
  <c r="J19" i="35"/>
  <c r="AP19" i="35" s="1"/>
  <c r="K35" i="62"/>
  <c r="AC55" i="35"/>
  <c r="AD55" i="35" s="1"/>
  <c r="K55" i="35" s="1"/>
  <c r="Y17" i="60"/>
  <c r="Z17" i="60" s="1"/>
  <c r="G28" i="59" s="1"/>
  <c r="U3" i="58"/>
  <c r="Y3" i="58"/>
  <c r="Z3" i="58"/>
  <c r="E10" i="57" s="1"/>
  <c r="W3" i="58"/>
  <c r="Y7" i="58"/>
  <c r="Z7" i="58" s="1"/>
  <c r="F8" i="57" s="1"/>
  <c r="AC16" i="49"/>
  <c r="AD16" i="49" s="1"/>
  <c r="K16" i="49" s="1"/>
  <c r="AA16" i="49"/>
  <c r="AB16" i="49" s="1"/>
  <c r="C14" i="49"/>
  <c r="AE16" i="49"/>
  <c r="E12" i="49"/>
  <c r="AA13" i="49"/>
  <c r="AB13" i="49" s="1"/>
  <c r="AC13" i="49"/>
  <c r="AD13" i="49" s="1"/>
  <c r="F14" i="49"/>
  <c r="E15" i="49"/>
  <c r="K13" i="49"/>
  <c r="AD43" i="35"/>
  <c r="K43" i="35" s="1"/>
  <c r="AP43" i="35" s="1"/>
  <c r="AC43" i="35"/>
  <c r="AA43" i="35"/>
  <c r="AB43" i="35" s="1"/>
  <c r="D43" i="35"/>
  <c r="F41" i="35"/>
  <c r="AC28" i="35"/>
  <c r="AD28" i="35" s="1"/>
  <c r="K28" i="35" s="1"/>
  <c r="D26" i="35"/>
  <c r="AA28" i="35"/>
  <c r="AB28" i="35" s="1"/>
  <c r="AE28" i="35"/>
  <c r="C27" i="35"/>
  <c r="K147" i="62"/>
  <c r="H163" i="62"/>
  <c r="F33" i="61"/>
  <c r="K123" i="62" s="1"/>
  <c r="J40" i="35"/>
  <c r="H67" i="62"/>
  <c r="Y8" i="11"/>
  <c r="K3" i="62"/>
  <c r="J5" i="35"/>
  <c r="O9" i="3"/>
  <c r="K30" i="49"/>
  <c r="C28" i="49"/>
  <c r="AA30" i="49"/>
  <c r="AB30" i="49" s="1"/>
  <c r="AC30" i="49"/>
  <c r="AD30" i="49" s="1"/>
  <c r="E26" i="49"/>
  <c r="AE30" i="49"/>
  <c r="G28" i="49" s="1"/>
  <c r="AC19" i="49"/>
  <c r="AD19" i="49" s="1"/>
  <c r="K19" i="49" s="1"/>
  <c r="D21" i="49"/>
  <c r="AA19" i="49"/>
  <c r="AB19" i="49" s="1"/>
  <c r="E20" i="49"/>
  <c r="AE19" i="49"/>
  <c r="F13" i="49"/>
  <c r="K43" i="67"/>
  <c r="AF42" i="35"/>
  <c r="V6" i="11"/>
  <c r="E20" i="12" s="1"/>
  <c r="B13" i="11"/>
  <c r="AA21" i="49"/>
  <c r="AB21" i="49" s="1"/>
  <c r="AE23" i="49"/>
  <c r="AC23" i="49"/>
  <c r="AD23" i="49" s="1"/>
  <c r="K23" i="49" s="1"/>
  <c r="C13" i="65"/>
  <c r="H43" i="67" s="1"/>
  <c r="J16" i="49"/>
  <c r="C23" i="65"/>
  <c r="H83" i="67" s="1"/>
  <c r="J28" i="49"/>
  <c r="C11" i="65"/>
  <c r="H35" i="67" s="1"/>
  <c r="J14" i="49"/>
  <c r="AD27" i="35"/>
  <c r="F28" i="35"/>
  <c r="E29" i="35"/>
  <c r="AA27" i="35"/>
  <c r="AB27" i="35" s="1"/>
  <c r="K27" i="35"/>
  <c r="AC27" i="35"/>
  <c r="H43" i="62"/>
  <c r="J16" i="35"/>
  <c r="Z3" i="11"/>
  <c r="E10" i="12" s="1"/>
  <c r="U3" i="11"/>
  <c r="Y3" i="11"/>
  <c r="W3" i="11"/>
  <c r="F13" i="35"/>
  <c r="AA15" i="35"/>
  <c r="AB15" i="35" s="1"/>
  <c r="AD15" i="35"/>
  <c r="K15" i="35" s="1"/>
  <c r="AC15" i="35"/>
  <c r="D15" i="35"/>
  <c r="H35" i="62"/>
  <c r="J14" i="35"/>
  <c r="J46" i="35"/>
  <c r="C38" i="61"/>
  <c r="A147" i="62" s="1"/>
  <c r="H59" i="62"/>
  <c r="J21" i="35"/>
  <c r="H11" i="62"/>
  <c r="J7" i="35"/>
  <c r="Y5" i="11"/>
  <c r="Z5" i="11" s="1"/>
  <c r="E18" i="12" s="1"/>
  <c r="U5" i="11"/>
  <c r="W5" i="11"/>
  <c r="Y11" i="11"/>
  <c r="Z11" i="11" s="1"/>
  <c r="F8" i="12" s="1"/>
  <c r="AE5" i="49"/>
  <c r="G6" i="49" s="1"/>
  <c r="K5" i="49"/>
  <c r="E6" i="49"/>
  <c r="AC5" i="49"/>
  <c r="AD5" i="49" s="1"/>
  <c r="AA5" i="49"/>
  <c r="AB5" i="49" s="1"/>
  <c r="D7" i="49"/>
  <c r="X2" i="11"/>
  <c r="E5" i="12" s="1"/>
  <c r="E11" i="11"/>
  <c r="AF20" i="49"/>
  <c r="F4" i="58"/>
  <c r="G4" i="58"/>
  <c r="Q8" i="3"/>
  <c r="R8" i="3" s="1"/>
  <c r="E30" i="4" s="1"/>
  <c r="O8" i="3"/>
  <c r="Q3" i="3"/>
  <c r="R3" i="3" s="1"/>
  <c r="E10" i="4" s="1"/>
  <c r="O3" i="3"/>
  <c r="Y19" i="60"/>
  <c r="Z19" i="60" s="1"/>
  <c r="H20" i="59" s="1"/>
  <c r="AE12" i="49"/>
  <c r="G13" i="49" s="1"/>
  <c r="K12" i="49"/>
  <c r="AA12" i="49"/>
  <c r="AB12" i="49" s="1"/>
  <c r="AC12" i="49"/>
  <c r="AD12" i="49" s="1"/>
  <c r="D14" i="49"/>
  <c r="AF12" i="49"/>
  <c r="E13" i="49"/>
  <c r="F22" i="65"/>
  <c r="D83" i="67" s="1"/>
  <c r="J27" i="49"/>
  <c r="Z8" i="11"/>
  <c r="E30" i="12" s="1"/>
  <c r="A59" i="62"/>
  <c r="J20" i="35"/>
  <c r="AP20" i="35" s="1"/>
  <c r="K59" i="62"/>
  <c r="M8" i="11"/>
  <c r="L8" i="11"/>
  <c r="O4" i="3"/>
  <c r="Q4" i="3"/>
  <c r="R4" i="3" s="1"/>
  <c r="E14" i="4" s="1"/>
  <c r="Y11" i="60"/>
  <c r="Z11" i="60" s="1"/>
  <c r="F8" i="59" s="1"/>
  <c r="F27" i="49"/>
  <c r="AD29" i="49"/>
  <c r="AC29" i="49"/>
  <c r="D29" i="49"/>
  <c r="K29" i="49"/>
  <c r="AA29" i="49"/>
  <c r="AB29" i="49" s="1"/>
  <c r="K83" i="67"/>
  <c r="K35" i="67"/>
  <c r="D49" i="35"/>
  <c r="AC47" i="35"/>
  <c r="AD47" i="35" s="1"/>
  <c r="K47" i="35" s="1"/>
  <c r="AE47" i="35"/>
  <c r="G48" i="35" s="1"/>
  <c r="E48" i="35"/>
  <c r="AA47" i="35"/>
  <c r="AB47" i="35" s="1"/>
  <c r="AD41" i="35"/>
  <c r="K41" i="35" s="1"/>
  <c r="AA41" i="35"/>
  <c r="AB41" i="35" s="1"/>
  <c r="F42" i="35"/>
  <c r="AC41" i="35"/>
  <c r="E43" i="35"/>
  <c r="E36" i="35"/>
  <c r="AA34" i="35"/>
  <c r="AB34" i="35" s="1"/>
  <c r="AD34" i="35"/>
  <c r="K34" i="35" s="1"/>
  <c r="F35" i="35"/>
  <c r="AC34" i="35"/>
  <c r="F48" i="61"/>
  <c r="D187" i="62" s="1"/>
  <c r="J57" i="35"/>
  <c r="F40" i="61"/>
  <c r="D155" i="62" s="1"/>
  <c r="J48" i="35"/>
  <c r="F34" i="61"/>
  <c r="D131" i="62" s="1"/>
  <c r="J41" i="35"/>
  <c r="H8" i="58"/>
  <c r="V5" i="58"/>
  <c r="E16" i="57" s="1"/>
  <c r="AA11" i="35"/>
  <c r="AB11" i="35" s="1"/>
  <c r="AC11" i="35"/>
  <c r="F12" i="35"/>
  <c r="C15" i="35"/>
  <c r="AD11" i="35"/>
  <c r="K11" i="35" s="1"/>
  <c r="C2" i="65"/>
  <c r="A3" i="67" s="1"/>
  <c r="J4" i="49"/>
  <c r="K75" i="62"/>
  <c r="AA14" i="35"/>
  <c r="AB14" i="35" s="1"/>
  <c r="AE14" i="35"/>
  <c r="G12" i="35" s="1"/>
  <c r="AC14" i="35"/>
  <c r="AD14" i="35" s="1"/>
  <c r="K14" i="35" s="1"/>
  <c r="D12" i="35"/>
  <c r="C13" i="35"/>
  <c r="D67" i="62"/>
  <c r="J22" i="35"/>
  <c r="AP22" i="35" s="1"/>
  <c r="O8" i="52"/>
  <c r="Q8" i="52"/>
  <c r="R8" i="52" s="1"/>
  <c r="F17" i="51" s="1"/>
  <c r="Y4" i="11"/>
  <c r="Z4" i="11" s="1"/>
  <c r="E14" i="12" s="1"/>
  <c r="W4" i="11"/>
  <c r="W8" i="60"/>
  <c r="U8" i="60"/>
  <c r="Y8" i="60"/>
  <c r="Z8" i="60" s="1"/>
  <c r="E30" i="59" s="1"/>
  <c r="AA21" i="35"/>
  <c r="AB21" i="35" s="1"/>
  <c r="D19" i="35"/>
  <c r="AE21" i="35"/>
  <c r="G19" i="35" s="1"/>
  <c r="K21" i="35"/>
  <c r="C20" i="35"/>
  <c r="AC21" i="35"/>
  <c r="AD21" i="35" s="1"/>
  <c r="AF21" i="35"/>
  <c r="G20" i="35" s="1"/>
  <c r="D8" i="35"/>
  <c r="F6" i="35"/>
  <c r="AD8" i="35"/>
  <c r="K8" i="35" s="1"/>
  <c r="AA8" i="35"/>
  <c r="AB8" i="35" s="1"/>
  <c r="AC8" i="35"/>
  <c r="J26" i="35"/>
  <c r="J12" i="35"/>
  <c r="AP12" i="35" s="1"/>
  <c r="H27" i="62"/>
  <c r="H19" i="62"/>
  <c r="J9" i="35"/>
  <c r="AP9" i="35" s="1"/>
  <c r="V2" i="11"/>
  <c r="E4" i="12" s="1"/>
  <c r="B11" i="11"/>
  <c r="G5" i="11"/>
  <c r="F5" i="11"/>
  <c r="O6" i="3"/>
  <c r="Q6" i="3"/>
  <c r="R6" i="3" s="1"/>
  <c r="E22" i="4" s="1"/>
  <c r="D26" i="49"/>
  <c r="AO26" i="49" s="1"/>
  <c r="C27" i="49"/>
  <c r="AD28" i="49"/>
  <c r="AE28" i="49"/>
  <c r="G26" i="49" s="1"/>
  <c r="AA28" i="49"/>
  <c r="AB28" i="49" s="1"/>
  <c r="K28" i="49"/>
  <c r="AF28" i="49"/>
  <c r="G27" i="49" s="1"/>
  <c r="AC28" i="49"/>
  <c r="K40" i="35"/>
  <c r="D42" i="35"/>
  <c r="E41" i="35"/>
  <c r="AE40" i="35"/>
  <c r="G41" i="35" s="1"/>
  <c r="AA40" i="35"/>
  <c r="AB40" i="35" s="1"/>
  <c r="AC40" i="35"/>
  <c r="AD40" i="35" s="1"/>
  <c r="AC5" i="35"/>
  <c r="AD5" i="35" s="1"/>
  <c r="AE5" i="35"/>
  <c r="G6" i="35" s="1"/>
  <c r="D7" i="35"/>
  <c r="E6" i="35"/>
  <c r="K5" i="35"/>
  <c r="AA5" i="35"/>
  <c r="AB5" i="35" s="1"/>
  <c r="K155" i="62"/>
  <c r="C27" i="61"/>
  <c r="H99" i="62" s="1"/>
  <c r="J33" i="35"/>
  <c r="AF26" i="35"/>
  <c r="G28" i="35" s="1"/>
  <c r="AA26" i="35"/>
  <c r="AB26" i="35" s="1"/>
  <c r="AE26" i="35"/>
  <c r="G27" i="35" s="1"/>
  <c r="AC26" i="35"/>
  <c r="AD26" i="35" s="1"/>
  <c r="K26" i="35" s="1"/>
  <c r="AF35" i="35"/>
  <c r="J49" i="35"/>
  <c r="D28" i="35"/>
  <c r="AC35" i="35"/>
  <c r="AD35" i="35" s="1"/>
  <c r="K35" i="35" s="1"/>
  <c r="F3" i="58"/>
  <c r="G3" i="58"/>
  <c r="O7" i="3"/>
  <c r="Q7" i="3"/>
  <c r="R7" i="3"/>
  <c r="E26" i="4" s="1"/>
  <c r="Z2" i="60"/>
  <c r="E6" i="59" s="1"/>
  <c r="W2" i="60"/>
  <c r="Y2" i="60"/>
  <c r="U2" i="60"/>
  <c r="AE22" i="49"/>
  <c r="AC22" i="49"/>
  <c r="AD22" i="49" s="1"/>
  <c r="K22" i="49" s="1"/>
  <c r="D22" i="49"/>
  <c r="AA22" i="49"/>
  <c r="AB22" i="49" s="1"/>
  <c r="F20" i="49"/>
  <c r="K15" i="49"/>
  <c r="AF47" i="35"/>
  <c r="AF33" i="35"/>
  <c r="G35" i="35" s="1"/>
  <c r="J35" i="35"/>
  <c r="C29" i="61"/>
  <c r="H107" i="62" s="1"/>
  <c r="Y5" i="58"/>
  <c r="Z5" i="58" s="1"/>
  <c r="E18" i="57" s="1"/>
  <c r="AA23" i="49"/>
  <c r="AB23" i="49" s="1"/>
  <c r="AE21" i="49"/>
  <c r="G19" i="49" s="1"/>
  <c r="AC21" i="49"/>
  <c r="AD21" i="49" s="1"/>
  <c r="K21" i="49" s="1"/>
  <c r="C21" i="49"/>
  <c r="H186" i="62"/>
  <c r="H34" i="62"/>
  <c r="H130" i="62"/>
  <c r="H138" i="62"/>
  <c r="A138" i="62"/>
  <c r="H122" i="62"/>
  <c r="H66" i="62"/>
  <c r="A66" i="62"/>
  <c r="A42" i="62"/>
  <c r="H42" i="62"/>
  <c r="H26" i="62"/>
  <c r="H13" i="11" l="1"/>
  <c r="I13" i="11" s="1"/>
  <c r="V4" i="11"/>
  <c r="E12" i="12" s="1"/>
  <c r="V12" i="60"/>
  <c r="F14" i="59" s="1"/>
  <c r="K11" i="60"/>
  <c r="M11" i="60" s="1"/>
  <c r="D7" i="58"/>
  <c r="H13" i="60"/>
  <c r="V7" i="60"/>
  <c r="E24" i="59" s="1"/>
  <c r="B13" i="60"/>
  <c r="V6" i="60"/>
  <c r="E20" i="59" s="1"/>
  <c r="H11" i="60"/>
  <c r="V3" i="60"/>
  <c r="E8" i="59" s="1"/>
  <c r="P2" i="52"/>
  <c r="E6" i="51" s="1"/>
  <c r="B7" i="52"/>
  <c r="D8" i="52"/>
  <c r="P2" i="3"/>
  <c r="E5" i="4" s="1"/>
  <c r="G21" i="49"/>
  <c r="D4" i="64"/>
  <c r="H22" i="64"/>
  <c r="X6" i="11"/>
  <c r="E21" i="12" s="1"/>
  <c r="AO7" i="49"/>
  <c r="G5" i="49"/>
  <c r="AO19" i="49"/>
  <c r="AP18" i="49"/>
  <c r="AP14" i="49"/>
  <c r="G12" i="49"/>
  <c r="AO12" i="49" s="1"/>
  <c r="AO5" i="49"/>
  <c r="AP16" i="35"/>
  <c r="AO47" i="35"/>
  <c r="G49" i="35"/>
  <c r="AP49" i="35"/>
  <c r="AO48" i="35"/>
  <c r="G40" i="35"/>
  <c r="AP44" i="35"/>
  <c r="AO33" i="35"/>
  <c r="AP35" i="35"/>
  <c r="G26" i="35"/>
  <c r="AO21" i="35"/>
  <c r="AO13" i="35"/>
  <c r="AO14" i="35"/>
  <c r="G7" i="35"/>
  <c r="AO7" i="35" s="1"/>
  <c r="G5" i="35"/>
  <c r="AO5" i="35" s="1"/>
  <c r="AP7" i="35"/>
  <c r="AO6" i="35"/>
  <c r="U13" i="11"/>
  <c r="B17" i="11" s="1"/>
  <c r="D17" i="11" s="1"/>
  <c r="J13" i="11"/>
  <c r="E13" i="60"/>
  <c r="G13" i="60" s="1"/>
  <c r="M13" i="60"/>
  <c r="X7" i="60"/>
  <c r="E25" i="59" s="1"/>
  <c r="X4" i="60"/>
  <c r="E13" i="59" s="1"/>
  <c r="G13" i="11"/>
  <c r="K14" i="60"/>
  <c r="L14" i="60" s="1"/>
  <c r="X2" i="58"/>
  <c r="E5" i="57" s="1"/>
  <c r="X5" i="58"/>
  <c r="E17" i="57" s="1"/>
  <c r="G7" i="58"/>
  <c r="X7" i="11"/>
  <c r="E25" i="12" s="1"/>
  <c r="X5" i="60"/>
  <c r="E17" i="59" s="1"/>
  <c r="K13" i="64"/>
  <c r="H31" i="64"/>
  <c r="D49" i="64"/>
  <c r="D22" i="64"/>
  <c r="K17" i="11"/>
  <c r="M17" i="11" s="1"/>
  <c r="A40" i="64"/>
  <c r="K40" i="64"/>
  <c r="AP36" i="35"/>
  <c r="I12" i="60"/>
  <c r="AP23" i="35"/>
  <c r="AP34" i="35"/>
  <c r="AP30" i="35"/>
  <c r="AP15" i="35"/>
  <c r="AP22" i="49"/>
  <c r="AP21" i="49"/>
  <c r="AP23" i="49"/>
  <c r="AP19" i="49"/>
  <c r="AP12" i="49"/>
  <c r="AP4" i="35"/>
  <c r="AP29" i="49"/>
  <c r="AP28" i="35"/>
  <c r="AP11" i="49"/>
  <c r="AP53" i="35"/>
  <c r="AP13" i="49"/>
  <c r="AP55" i="35"/>
  <c r="W12" i="60"/>
  <c r="F12" i="60"/>
  <c r="G12" i="60"/>
  <c r="J14" i="11"/>
  <c r="I14" i="11"/>
  <c r="U14" i="11"/>
  <c r="AP42" i="35"/>
  <c r="AP9" i="49"/>
  <c r="AP5" i="49"/>
  <c r="AP28" i="49"/>
  <c r="AO22" i="49"/>
  <c r="AP20" i="49"/>
  <c r="AO13" i="49"/>
  <c r="AO6" i="49"/>
  <c r="AO54" i="35"/>
  <c r="AP57" i="35"/>
  <c r="AO49" i="35"/>
  <c r="AO42" i="35"/>
  <c r="AO40" i="35"/>
  <c r="AP33" i="35"/>
  <c r="AO28" i="35"/>
  <c r="AP26" i="35"/>
  <c r="AO19" i="35"/>
  <c r="AP21" i="35"/>
  <c r="J8" i="58"/>
  <c r="I8" i="58"/>
  <c r="U8" i="58"/>
  <c r="P3" i="3"/>
  <c r="E9" i="4" s="1"/>
  <c r="E11" i="3"/>
  <c r="B14" i="3"/>
  <c r="P8" i="3"/>
  <c r="E29" i="4" s="1"/>
  <c r="AP46" i="35"/>
  <c r="V3" i="11"/>
  <c r="E8" i="12" s="1"/>
  <c r="H11" i="11"/>
  <c r="AO26" i="35"/>
  <c r="AP11" i="35"/>
  <c r="E14" i="11"/>
  <c r="X8" i="11"/>
  <c r="E29" i="12" s="1"/>
  <c r="AO8" i="35"/>
  <c r="AP15" i="49"/>
  <c r="D14" i="11"/>
  <c r="C14" i="11"/>
  <c r="AO21" i="49"/>
  <c r="AO27" i="49"/>
  <c r="AO20" i="35"/>
  <c r="X8" i="60"/>
  <c r="E29" i="59" s="1"/>
  <c r="E14" i="60"/>
  <c r="AO15" i="35"/>
  <c r="AP41" i="35"/>
  <c r="B12" i="3"/>
  <c r="P4" i="3"/>
  <c r="E13" i="4" s="1"/>
  <c r="G14" i="49"/>
  <c r="AO14" i="49" s="1"/>
  <c r="K12" i="11"/>
  <c r="X5" i="11"/>
  <c r="E17" i="12" s="1"/>
  <c r="L12" i="60"/>
  <c r="M12" i="60"/>
  <c r="AP14" i="35"/>
  <c r="E14" i="3"/>
  <c r="P9" i="3"/>
  <c r="E33" i="4" s="1"/>
  <c r="L13" i="11"/>
  <c r="M13" i="11"/>
  <c r="W13" i="11"/>
  <c r="AO36" i="35"/>
  <c r="AO41" i="35"/>
  <c r="X4" i="58"/>
  <c r="E13" i="57" s="1"/>
  <c r="E8" i="58"/>
  <c r="AP13" i="35"/>
  <c r="V12" i="11"/>
  <c r="F14" i="12" s="1"/>
  <c r="H16" i="11"/>
  <c r="X2" i="60"/>
  <c r="E5" i="59" s="1"/>
  <c r="E11" i="60"/>
  <c r="P7" i="3"/>
  <c r="E25" i="4" s="1"/>
  <c r="E13" i="3"/>
  <c r="M8" i="58"/>
  <c r="L8" i="58"/>
  <c r="W8" i="58"/>
  <c r="V8" i="60"/>
  <c r="E28" i="59" s="1"/>
  <c r="B14" i="60"/>
  <c r="V2" i="60"/>
  <c r="E4" i="59" s="1"/>
  <c r="B11" i="60"/>
  <c r="C11" i="11"/>
  <c r="D11" i="11"/>
  <c r="X4" i="11"/>
  <c r="E13" i="12" s="1"/>
  <c r="E12" i="11"/>
  <c r="E10" i="52"/>
  <c r="P8" i="52"/>
  <c r="F16" i="51" s="1"/>
  <c r="AP4" i="49"/>
  <c r="AP27" i="49"/>
  <c r="F11" i="11"/>
  <c r="G11" i="11"/>
  <c r="U11" i="11"/>
  <c r="H12" i="11"/>
  <c r="V5" i="11"/>
  <c r="E16" i="12" s="1"/>
  <c r="K11" i="11"/>
  <c r="X3" i="11"/>
  <c r="E9" i="12" s="1"/>
  <c r="AO28" i="49"/>
  <c r="H7" i="58"/>
  <c r="V3" i="58"/>
  <c r="E8" i="57" s="1"/>
  <c r="I16" i="60"/>
  <c r="J16" i="60"/>
  <c r="E7" i="52"/>
  <c r="P3" i="52"/>
  <c r="E10" i="51" s="1"/>
  <c r="E8" i="52"/>
  <c r="P5" i="52"/>
  <c r="E18" i="51" s="1"/>
  <c r="B8" i="58"/>
  <c r="V4" i="58"/>
  <c r="E12" i="57" s="1"/>
  <c r="E12" i="3"/>
  <c r="P5" i="3"/>
  <c r="E17" i="4" s="1"/>
  <c r="AP8" i="35"/>
  <c r="D11" i="3"/>
  <c r="C11" i="3"/>
  <c r="B13" i="3"/>
  <c r="P6" i="3"/>
  <c r="E21" i="4" s="1"/>
  <c r="C17" i="11"/>
  <c r="AO12" i="35"/>
  <c r="AP48" i="35"/>
  <c r="AO29" i="49"/>
  <c r="W11" i="11"/>
  <c r="AP16" i="49"/>
  <c r="C13" i="11"/>
  <c r="D13" i="11"/>
  <c r="G20" i="49"/>
  <c r="AO20" i="49" s="1"/>
  <c r="AP5" i="35"/>
  <c r="AP40" i="35"/>
  <c r="AO27" i="35"/>
  <c r="K7" i="58"/>
  <c r="X3" i="58"/>
  <c r="E9" i="57" s="1"/>
  <c r="AO35" i="35"/>
  <c r="G34" i="35"/>
  <c r="AO34" i="35" s="1"/>
  <c r="AO15" i="49"/>
  <c r="AP47" i="35"/>
  <c r="AO43" i="35"/>
  <c r="AO56" i="35"/>
  <c r="C12" i="11"/>
  <c r="D12" i="11"/>
  <c r="W13" i="60" l="1"/>
  <c r="E17" i="60" s="1"/>
  <c r="G17" i="60" s="1"/>
  <c r="AN56" i="35"/>
  <c r="L11" i="60"/>
  <c r="V13" i="11"/>
  <c r="F22" i="12" s="1"/>
  <c r="J11" i="60"/>
  <c r="I11" i="60"/>
  <c r="I13" i="60"/>
  <c r="U13" i="60"/>
  <c r="J13" i="60"/>
  <c r="D13" i="60"/>
  <c r="C13" i="60"/>
  <c r="D7" i="52"/>
  <c r="O7" i="52"/>
  <c r="C7" i="52"/>
  <c r="F13" i="60"/>
  <c r="AN5" i="49"/>
  <c r="AN47" i="35"/>
  <c r="M14" i="60"/>
  <c r="L17" i="11"/>
  <c r="W17" i="11"/>
  <c r="X17" i="11" s="1"/>
  <c r="G27" i="12" s="1"/>
  <c r="AN35" i="35"/>
  <c r="AN21" i="35"/>
  <c r="AN28" i="35"/>
  <c r="AN21" i="49"/>
  <c r="H17" i="11"/>
  <c r="V14" i="11"/>
  <c r="F30" i="12" s="1"/>
  <c r="K16" i="60"/>
  <c r="X12" i="60"/>
  <c r="F15" i="59" s="1"/>
  <c r="AN5" i="35"/>
  <c r="AN7" i="49"/>
  <c r="AN28" i="49"/>
  <c r="AN54" i="35"/>
  <c r="AN19" i="35"/>
  <c r="AN42" i="35"/>
  <c r="AN7" i="35"/>
  <c r="AN26" i="49"/>
  <c r="AN14" i="49"/>
  <c r="AN33" i="35"/>
  <c r="AN12" i="49"/>
  <c r="AN19" i="49"/>
  <c r="AN40" i="35"/>
  <c r="E16" i="11"/>
  <c r="X11" i="11"/>
  <c r="F7" i="12" s="1"/>
  <c r="J12" i="11"/>
  <c r="I12" i="11"/>
  <c r="C11" i="60"/>
  <c r="D11" i="60"/>
  <c r="U11" i="60"/>
  <c r="K10" i="58"/>
  <c r="X8" i="58"/>
  <c r="F15" i="57" s="1"/>
  <c r="J16" i="11"/>
  <c r="I16" i="11"/>
  <c r="G14" i="11"/>
  <c r="F14" i="11"/>
  <c r="AN14" i="35"/>
  <c r="I11" i="11"/>
  <c r="J11" i="11"/>
  <c r="D14" i="3"/>
  <c r="C14" i="3"/>
  <c r="F12" i="3"/>
  <c r="G12" i="3"/>
  <c r="F7" i="52"/>
  <c r="G7" i="52"/>
  <c r="V11" i="11"/>
  <c r="F6" i="12" s="1"/>
  <c r="B16" i="11"/>
  <c r="C14" i="60"/>
  <c r="D14" i="60"/>
  <c r="U14" i="60"/>
  <c r="F11" i="60"/>
  <c r="G11" i="60"/>
  <c r="W11" i="60"/>
  <c r="X13" i="11"/>
  <c r="F23" i="12" s="1"/>
  <c r="E17" i="11"/>
  <c r="G14" i="3"/>
  <c r="F14" i="3"/>
  <c r="O14" i="3"/>
  <c r="C12" i="3"/>
  <c r="D12" i="3"/>
  <c r="O12" i="3"/>
  <c r="F14" i="60"/>
  <c r="W14" i="60"/>
  <c r="G14" i="60"/>
  <c r="G11" i="3"/>
  <c r="F11" i="3"/>
  <c r="O11" i="3"/>
  <c r="M11" i="11"/>
  <c r="L11" i="11"/>
  <c r="F10" i="52"/>
  <c r="G10" i="52"/>
  <c r="M12" i="11"/>
  <c r="L12" i="11"/>
  <c r="AN49" i="35"/>
  <c r="M7" i="58"/>
  <c r="L7" i="58"/>
  <c r="W7" i="58"/>
  <c r="AN12" i="35"/>
  <c r="C13" i="3"/>
  <c r="D13" i="3"/>
  <c r="C8" i="58"/>
  <c r="D8" i="58"/>
  <c r="F8" i="52"/>
  <c r="G8" i="52"/>
  <c r="J7" i="58"/>
  <c r="I7" i="58"/>
  <c r="U7" i="58"/>
  <c r="F12" i="11"/>
  <c r="G12" i="11"/>
  <c r="W12" i="11"/>
  <c r="F13" i="3"/>
  <c r="O13" i="3"/>
  <c r="G13" i="3"/>
  <c r="F8" i="58"/>
  <c r="G8" i="58"/>
  <c r="AN26" i="35"/>
  <c r="H10" i="58"/>
  <c r="V8" i="58"/>
  <c r="F14" i="57" s="1"/>
  <c r="X13" i="60" l="1"/>
  <c r="F23" i="59" s="1"/>
  <c r="F17" i="60"/>
  <c r="V13" i="60"/>
  <c r="F22" i="59" s="1"/>
  <c r="B17" i="60"/>
  <c r="B10" i="52"/>
  <c r="P7" i="52"/>
  <c r="F8" i="51" s="1"/>
  <c r="K19" i="11"/>
  <c r="L19" i="11" s="1"/>
  <c r="L16" i="60"/>
  <c r="M16" i="60"/>
  <c r="J17" i="11"/>
  <c r="I17" i="11"/>
  <c r="U17" i="11"/>
  <c r="V7" i="58"/>
  <c r="F6" i="57" s="1"/>
  <c r="B10" i="58"/>
  <c r="X14" i="60"/>
  <c r="F31" i="59" s="1"/>
  <c r="K17" i="60"/>
  <c r="W17" i="60" s="1"/>
  <c r="G17" i="11"/>
  <c r="F17" i="11"/>
  <c r="B16" i="60"/>
  <c r="V11" i="60"/>
  <c r="F6" i="59" s="1"/>
  <c r="M10" i="58"/>
  <c r="L10" i="58"/>
  <c r="X12" i="11"/>
  <c r="F15" i="12" s="1"/>
  <c r="K16" i="11"/>
  <c r="W16" i="11" s="1"/>
  <c r="E17" i="3"/>
  <c r="P14" i="3"/>
  <c r="F31" i="4" s="1"/>
  <c r="V14" i="60"/>
  <c r="F30" i="59" s="1"/>
  <c r="H17" i="60"/>
  <c r="P13" i="3"/>
  <c r="F23" i="4" s="1"/>
  <c r="B17" i="3"/>
  <c r="I10" i="58"/>
  <c r="J10" i="58"/>
  <c r="X7" i="58"/>
  <c r="F7" i="57" s="1"/>
  <c r="E10" i="58"/>
  <c r="B16" i="3"/>
  <c r="P11" i="3"/>
  <c r="F7" i="4" s="1"/>
  <c r="E16" i="3"/>
  <c r="P12" i="3"/>
  <c r="F15" i="4" s="1"/>
  <c r="E16" i="60"/>
  <c r="X11" i="60"/>
  <c r="F7" i="59" s="1"/>
  <c r="D16" i="11"/>
  <c r="C16" i="11"/>
  <c r="U16" i="11"/>
  <c r="F16" i="11"/>
  <c r="G16" i="11"/>
  <c r="X17" i="60" l="1"/>
  <c r="G27" i="59" s="1"/>
  <c r="K19" i="60"/>
  <c r="D17" i="60"/>
  <c r="C17" i="60"/>
  <c r="U17" i="60"/>
  <c r="O10" i="52"/>
  <c r="P10" i="52" s="1"/>
  <c r="G12" i="51" s="1"/>
  <c r="D10" i="52"/>
  <c r="C10" i="52"/>
  <c r="M19" i="11"/>
  <c r="V17" i="11"/>
  <c r="G26" i="12" s="1"/>
  <c r="H19" i="11"/>
  <c r="B19" i="11"/>
  <c r="V16" i="11"/>
  <c r="G10" i="12" s="1"/>
  <c r="G16" i="60"/>
  <c r="F16" i="60"/>
  <c r="W16" i="60"/>
  <c r="D16" i="3"/>
  <c r="C16" i="3"/>
  <c r="C16" i="60"/>
  <c r="D16" i="60"/>
  <c r="U16" i="60"/>
  <c r="E19" i="11"/>
  <c r="X16" i="11"/>
  <c r="G11" i="12" s="1"/>
  <c r="G10" i="58"/>
  <c r="F10" i="58"/>
  <c r="W10" i="58"/>
  <c r="X10" i="58" s="1"/>
  <c r="G11" i="57" s="1"/>
  <c r="C17" i="3"/>
  <c r="O17" i="3"/>
  <c r="D17" i="3"/>
  <c r="M17" i="60"/>
  <c r="L17" i="60"/>
  <c r="D10" i="58"/>
  <c r="U10" i="58"/>
  <c r="V10" i="58" s="1"/>
  <c r="G10" i="57" s="1"/>
  <c r="C10" i="58"/>
  <c r="J17" i="60"/>
  <c r="I17" i="60"/>
  <c r="L16" i="11"/>
  <c r="M16" i="11"/>
  <c r="G16" i="3"/>
  <c r="F16" i="3"/>
  <c r="O16" i="3"/>
  <c r="G17" i="3"/>
  <c r="F17" i="3"/>
  <c r="M19" i="60" l="1"/>
  <c r="L19" i="60"/>
  <c r="V17" i="60"/>
  <c r="G26" i="59" s="1"/>
  <c r="H19" i="60"/>
  <c r="J19" i="11"/>
  <c r="I19" i="11"/>
  <c r="F19" i="11"/>
  <c r="W19" i="11"/>
  <c r="X19" i="11" s="1"/>
  <c r="H19" i="12" s="1"/>
  <c r="G19" i="11"/>
  <c r="V16" i="60"/>
  <c r="G10" i="59" s="1"/>
  <c r="B19" i="60"/>
  <c r="P16" i="3"/>
  <c r="G11" i="4" s="1"/>
  <c r="B19" i="3"/>
  <c r="P17" i="3"/>
  <c r="G27" i="4" s="1"/>
  <c r="E19" i="3"/>
  <c r="E19" i="60"/>
  <c r="X16" i="60"/>
  <c r="G11" i="59" s="1"/>
  <c r="C19" i="11"/>
  <c r="D19" i="11"/>
  <c r="U19" i="11"/>
  <c r="V19" i="11" s="1"/>
  <c r="H18" i="12" s="1"/>
  <c r="I19" i="60" l="1"/>
  <c r="J19" i="60"/>
  <c r="C19" i="3"/>
  <c r="D19" i="3"/>
  <c r="O19" i="3"/>
  <c r="P19" i="3" s="1"/>
  <c r="H19" i="4" s="1"/>
  <c r="F19" i="60"/>
  <c r="G19" i="60"/>
  <c r="W19" i="60"/>
  <c r="X19" i="60" s="1"/>
  <c r="H19" i="59" s="1"/>
  <c r="G19" i="3"/>
  <c r="F19" i="3"/>
  <c r="C19" i="60"/>
  <c r="D19" i="60"/>
  <c r="U19" i="60"/>
  <c r="V19" i="60" s="1"/>
  <c r="H18" i="59" s="1"/>
</calcChain>
</file>

<file path=xl/sharedStrings.xml><?xml version="1.0" encoding="utf-8"?>
<sst xmlns="http://schemas.openxmlformats.org/spreadsheetml/2006/main" count="1703" uniqueCount="136">
  <si>
    <t>číslo</t>
  </si>
  <si>
    <t>hráč1</t>
  </si>
  <si>
    <t>klub</t>
  </si>
  <si>
    <t>hráč2</t>
  </si>
  <si>
    <t>set1</t>
  </si>
  <si>
    <t>set2</t>
  </si>
  <si>
    <t>set3</t>
  </si>
  <si>
    <t>set4</t>
  </si>
  <si>
    <t>set5</t>
  </si>
  <si>
    <t>D</t>
  </si>
  <si>
    <t>H</t>
  </si>
  <si>
    <t>vítěz</t>
  </si>
  <si>
    <t>Jméno</t>
  </si>
  <si>
    <t>Oddíl</t>
  </si>
  <si>
    <t>hráč3</t>
  </si>
  <si>
    <t>hráč4</t>
  </si>
  <si>
    <t>Body</t>
  </si>
  <si>
    <t>Pořadí</t>
  </si>
  <si>
    <t>&lt;Table&gt;&lt;TR&gt;&lt;TD width=500&gt;</t>
  </si>
  <si>
    <t xml:space="preserve"> </t>
  </si>
  <si>
    <t>datnar</t>
  </si>
  <si>
    <t>Název turnaje:</t>
  </si>
  <si>
    <t>Kategorie:</t>
  </si>
  <si>
    <t>XXX</t>
  </si>
  <si>
    <t>Účastníků:</t>
  </si>
  <si>
    <t>soutěž</t>
  </si>
  <si>
    <t>sada 1</t>
  </si>
  <si>
    <t>sada 2</t>
  </si>
  <si>
    <t>sada 3</t>
  </si>
  <si>
    <t>sada 4</t>
  </si>
  <si>
    <t>sada 5</t>
  </si>
  <si>
    <t>Celkem zápas</t>
  </si>
  <si>
    <t>Rozhodčí</t>
  </si>
  <si>
    <t>Vítěz</t>
  </si>
  <si>
    <t>stůl č.</t>
  </si>
  <si>
    <t>žebříček</t>
  </si>
  <si>
    <t>MIX</t>
  </si>
  <si>
    <t>čtyřhraŽ</t>
  </si>
  <si>
    <t>čtyřhra M</t>
  </si>
  <si>
    <t>DVOUHRA  Ž</t>
  </si>
  <si>
    <t>DVOUHRA   M</t>
  </si>
  <si>
    <t>zápas č.  1</t>
  </si>
  <si>
    <t>zápas č.  2</t>
  </si>
  <si>
    <t>zápas č.  3</t>
  </si>
  <si>
    <t>zápas č.  4</t>
  </si>
  <si>
    <t>zápas č.  5</t>
  </si>
  <si>
    <t>zápas č.  6</t>
  </si>
  <si>
    <t>SKST Hodonín</t>
  </si>
  <si>
    <t>KST Blansko</t>
  </si>
  <si>
    <t>Nespěšný Hynek</t>
  </si>
  <si>
    <t>Němeček Radek</t>
  </si>
  <si>
    <t>MSK Břeclav</t>
  </si>
  <si>
    <t>Krištof Lukáš</t>
  </si>
  <si>
    <t>Pokorný Martin</t>
  </si>
  <si>
    <t>KST Vyškov</t>
  </si>
  <si>
    <t>Luska Petr</t>
  </si>
  <si>
    <t>Krejčí David</t>
  </si>
  <si>
    <t>Havránek Ondřej</t>
  </si>
  <si>
    <t>Drápal Metoděj</t>
  </si>
  <si>
    <t>Pařízek Richard</t>
  </si>
  <si>
    <t>Horníček Lukáš</t>
  </si>
  <si>
    <t>Novohradská Karolína</t>
  </si>
  <si>
    <t>Masopustová Lucie</t>
  </si>
  <si>
    <t>Sobotíková Monika</t>
  </si>
  <si>
    <t>Mazalová Kristýna</t>
  </si>
  <si>
    <t>Holubová Simona</t>
  </si>
  <si>
    <t>Kotásková Kristýna</t>
  </si>
  <si>
    <t>TJ Mikulčice</t>
  </si>
  <si>
    <t>Novotná Eliška</t>
  </si>
  <si>
    <t>Habáňová Michaela</t>
  </si>
  <si>
    <t>5</t>
  </si>
  <si>
    <t>9</t>
  </si>
  <si>
    <t>7</t>
  </si>
  <si>
    <t>-4</t>
  </si>
  <si>
    <t>-2</t>
  </si>
  <si>
    <t>-9</t>
  </si>
  <si>
    <t>-10</t>
  </si>
  <si>
    <t>-8</t>
  </si>
  <si>
    <t>-3</t>
  </si>
  <si>
    <t>-7</t>
  </si>
  <si>
    <t>-5</t>
  </si>
  <si>
    <t>-6</t>
  </si>
  <si>
    <t>8</t>
  </si>
  <si>
    <t>6</t>
  </si>
  <si>
    <t>-0</t>
  </si>
  <si>
    <t>2</t>
  </si>
  <si>
    <t>4</t>
  </si>
  <si>
    <t>3</t>
  </si>
  <si>
    <t>11</t>
  </si>
  <si>
    <t>0</t>
  </si>
  <si>
    <t>10</t>
  </si>
  <si>
    <t>13</t>
  </si>
  <si>
    <t>-1</t>
  </si>
  <si>
    <t>-12</t>
  </si>
  <si>
    <t>-11</t>
  </si>
  <si>
    <t>12</t>
  </si>
  <si>
    <t>-0-0</t>
  </si>
  <si>
    <t>;;</t>
  </si>
  <si>
    <t>muži Skupina A</t>
  </si>
  <si>
    <t>muži Skupina B</t>
  </si>
  <si>
    <t>muži Skupina C</t>
  </si>
  <si>
    <t>muži Skupina D</t>
  </si>
  <si>
    <t>muži Skupina E</t>
  </si>
  <si>
    <t>muži Skupina G</t>
  </si>
  <si>
    <t>muži Skupina H</t>
  </si>
  <si>
    <t>muži Skupina F</t>
  </si>
  <si>
    <t>ženy Skupina A</t>
  </si>
  <si>
    <t>ženy Skupina B</t>
  </si>
  <si>
    <t>ženy Skupina C</t>
  </si>
  <si>
    <t>ženy Skupina D</t>
  </si>
  <si>
    <t>U19</t>
  </si>
  <si>
    <t>Krajské přebory</t>
  </si>
  <si>
    <t>MS Brno</t>
  </si>
  <si>
    <t>Tišnov</t>
  </si>
  <si>
    <t>Vincenec Oliver</t>
  </si>
  <si>
    <t>Šimeček Robin</t>
  </si>
  <si>
    <t>TJ Holásky</t>
  </si>
  <si>
    <t>Ševčík Ondřej</t>
  </si>
  <si>
    <t>Velké Opatovice</t>
  </si>
  <si>
    <t>Lokaj David</t>
  </si>
  <si>
    <t>Letonice</t>
  </si>
  <si>
    <t>Lysoněk Filip</t>
  </si>
  <si>
    <t>Pluháček Adam</t>
  </si>
  <si>
    <t>Sokol Brno I</t>
  </si>
  <si>
    <t>Dreits Anastasiia</t>
  </si>
  <si>
    <t>Bedřichová Ema</t>
  </si>
  <si>
    <t>Klobouky u Brna</t>
  </si>
  <si>
    <t xml:space="preserve">zápas č.  </t>
  </si>
  <si>
    <t>Chromník Martin</t>
  </si>
  <si>
    <t>STP Mikulov</t>
  </si>
  <si>
    <t>Hampl Petr</t>
  </si>
  <si>
    <t>Wutka Michal</t>
  </si>
  <si>
    <t>Vrtěl Maxim</t>
  </si>
  <si>
    <t>Pilitowská Lea</t>
  </si>
  <si>
    <t>Štěpánek Ondřej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</si>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</sst>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i/>
      <sz val="16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sz val="8"/>
      <name val="Verdana"/>
      <family val="2"/>
    </font>
    <font>
      <b/>
      <sz val="16"/>
      <name val="Times New Roman CE"/>
      <family val="1"/>
      <charset val="238"/>
    </font>
    <font>
      <sz val="8"/>
      <name val="Arial"/>
      <family val="2"/>
    </font>
    <font>
      <b/>
      <sz val="8"/>
      <name val="Arial"/>
      <family val="2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2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2"/>
      <name val="Arial CE"/>
      <family val="2"/>
      <charset val="238"/>
    </font>
    <font>
      <b/>
      <sz val="20"/>
      <name val="Times New Roman CE"/>
      <family val="1"/>
      <charset val="238"/>
    </font>
    <font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i/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sz val="10"/>
      <name val="Arial CE"/>
      <charset val="238"/>
    </font>
    <font>
      <sz val="11"/>
      <color rgb="FF006100"/>
      <name val="Calibri"/>
      <family val="2"/>
      <charset val="238"/>
      <scheme val="minor"/>
    </font>
    <font>
      <sz val="8"/>
      <color theme="0"/>
      <name val="Arial"/>
      <family val="2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Calibri Light"/>
      <family val="2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 diagonalUp="1" diagonalDown="1">
      <left/>
      <right/>
      <top/>
      <bottom/>
      <diagonal style="hair">
        <color rgb="FFFF0000"/>
      </diagonal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1" fillId="3" borderId="0" applyNumberFormat="0" applyBorder="0" applyAlignment="0" applyProtection="0"/>
  </cellStyleXfs>
  <cellXfs count="19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49" fontId="2" fillId="0" borderId="0" xfId="0" applyNumberFormat="1" applyFont="1"/>
    <xf numFmtId="0" fontId="6" fillId="0" borderId="0" xfId="0" applyFont="1" applyAlignment="1">
      <alignment horizontal="right"/>
    </xf>
    <xf numFmtId="0" fontId="1" fillId="0" borderId="5" xfId="0" applyFont="1" applyBorder="1"/>
    <xf numFmtId="0" fontId="1" fillId="0" borderId="6" xfId="0" applyFont="1" applyBorder="1"/>
    <xf numFmtId="0" fontId="1" fillId="0" borderId="10" xfId="0" applyFont="1" applyBorder="1"/>
    <xf numFmtId="0" fontId="7" fillId="0" borderId="0" xfId="0" applyFont="1"/>
    <xf numFmtId="0" fontId="8" fillId="0" borderId="0" xfId="0" applyFont="1"/>
    <xf numFmtId="0" fontId="8" fillId="0" borderId="10" xfId="0" applyFont="1" applyBorder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5" xfId="0" applyFont="1" applyBorder="1"/>
    <xf numFmtId="0" fontId="7" fillId="0" borderId="2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3" xfId="0" applyFont="1" applyBorder="1"/>
    <xf numFmtId="0" fontId="8" fillId="0" borderId="24" xfId="0" applyFont="1" applyBorder="1"/>
    <xf numFmtId="0" fontId="7" fillId="0" borderId="2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49" fontId="7" fillId="2" borderId="28" xfId="0" applyNumberFormat="1" applyFont="1" applyFill="1" applyBorder="1"/>
    <xf numFmtId="49" fontId="7" fillId="2" borderId="29" xfId="0" applyNumberFormat="1" applyFont="1" applyFill="1" applyBorder="1"/>
    <xf numFmtId="49" fontId="7" fillId="2" borderId="30" xfId="0" applyNumberFormat="1" applyFont="1" applyFill="1" applyBorder="1"/>
    <xf numFmtId="49" fontId="7" fillId="2" borderId="31" xfId="0" applyNumberFormat="1" applyFont="1" applyFill="1" applyBorder="1"/>
    <xf numFmtId="49" fontId="7" fillId="2" borderId="0" xfId="0" applyNumberFormat="1" applyFont="1" applyFill="1" applyBorder="1"/>
    <xf numFmtId="49" fontId="7" fillId="2" borderId="32" xfId="0" applyNumberFormat="1" applyFont="1" applyFill="1" applyBorder="1"/>
    <xf numFmtId="49" fontId="7" fillId="2" borderId="33" xfId="0" applyNumberFormat="1" applyFont="1" applyFill="1" applyBorder="1"/>
    <xf numFmtId="49" fontId="7" fillId="2" borderId="10" xfId="0" applyNumberFormat="1" applyFont="1" applyFill="1" applyBorder="1"/>
    <xf numFmtId="49" fontId="7" fillId="2" borderId="34" xfId="0" applyNumberFormat="1" applyFont="1" applyFill="1" applyBorder="1"/>
    <xf numFmtId="49" fontId="2" fillId="2" borderId="28" xfId="0" applyNumberFormat="1" applyFont="1" applyFill="1" applyBorder="1"/>
    <xf numFmtId="49" fontId="2" fillId="2" borderId="29" xfId="0" applyNumberFormat="1" applyFont="1" applyFill="1" applyBorder="1"/>
    <xf numFmtId="49" fontId="2" fillId="2" borderId="30" xfId="0" applyNumberFormat="1" applyFont="1" applyFill="1" applyBorder="1"/>
    <xf numFmtId="49" fontId="2" fillId="2" borderId="31" xfId="0" applyNumberFormat="1" applyFont="1" applyFill="1" applyBorder="1"/>
    <xf numFmtId="49" fontId="2" fillId="2" borderId="0" xfId="0" applyNumberFormat="1" applyFont="1" applyFill="1" applyBorder="1"/>
    <xf numFmtId="49" fontId="2" fillId="2" borderId="32" xfId="0" applyNumberFormat="1" applyFont="1" applyFill="1" applyBorder="1"/>
    <xf numFmtId="49" fontId="2" fillId="2" borderId="33" xfId="0" applyNumberFormat="1" applyFont="1" applyFill="1" applyBorder="1"/>
    <xf numFmtId="49" fontId="2" fillId="2" borderId="10" xfId="0" applyNumberFormat="1" applyFont="1" applyFill="1" applyBorder="1"/>
    <xf numFmtId="49" fontId="2" fillId="2" borderId="34" xfId="0" applyNumberFormat="1" applyFont="1" applyFill="1" applyBorder="1"/>
    <xf numFmtId="49" fontId="2" fillId="2" borderId="7" xfId="0" applyNumberFormat="1" applyFont="1" applyFill="1" applyBorder="1"/>
    <xf numFmtId="49" fontId="2" fillId="2" borderId="8" xfId="0" applyNumberFormat="1" applyFont="1" applyFill="1" applyBorder="1"/>
    <xf numFmtId="49" fontId="2" fillId="2" borderId="9" xfId="0" applyNumberFormat="1" applyFont="1" applyFill="1" applyBorder="1"/>
    <xf numFmtId="0" fontId="2" fillId="0" borderId="35" xfId="0" applyFont="1" applyBorder="1"/>
    <xf numFmtId="0" fontId="9" fillId="0" borderId="0" xfId="0" applyFont="1"/>
    <xf numFmtId="0" fontId="10" fillId="0" borderId="0" xfId="0" applyFont="1"/>
    <xf numFmtId="0" fontId="9" fillId="2" borderId="0" xfId="0" applyFont="1" applyFill="1"/>
    <xf numFmtId="0" fontId="11" fillId="0" borderId="0" xfId="0" applyFont="1"/>
    <xf numFmtId="14" fontId="0" fillId="0" borderId="0" xfId="0" applyNumberFormat="1"/>
    <xf numFmtId="14" fontId="2" fillId="0" borderId="0" xfId="0" applyNumberFormat="1" applyFont="1" applyAlignment="1">
      <alignment horizontal="right"/>
    </xf>
    <xf numFmtId="0" fontId="2" fillId="0" borderId="0" xfId="0" applyFont="1" applyBorder="1"/>
    <xf numFmtId="0" fontId="12" fillId="0" borderId="0" xfId="0" applyFont="1" applyAlignment="1">
      <alignment horizontal="right"/>
    </xf>
    <xf numFmtId="0" fontId="13" fillId="0" borderId="0" xfId="0" applyFont="1"/>
    <xf numFmtId="49" fontId="10" fillId="0" borderId="0" xfId="0" applyNumberFormat="1" applyFont="1"/>
    <xf numFmtId="0" fontId="3" fillId="0" borderId="0" xfId="0" applyFont="1" applyAlignment="1">
      <alignment horizontal="right"/>
    </xf>
    <xf numFmtId="0" fontId="2" fillId="0" borderId="36" xfId="0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/>
    <xf numFmtId="49" fontId="0" fillId="0" borderId="0" xfId="0" applyNumberFormat="1"/>
    <xf numFmtId="0" fontId="15" fillId="0" borderId="0" xfId="0" applyFont="1"/>
    <xf numFmtId="14" fontId="16" fillId="0" borderId="12" xfId="0" applyNumberFormat="1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2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2" fillId="4" borderId="0" xfId="0" applyFont="1" applyFill="1"/>
    <xf numFmtId="0" fontId="1" fillId="0" borderId="0" xfId="0" applyFont="1" applyFill="1"/>
    <xf numFmtId="0" fontId="2" fillId="0" borderId="0" xfId="0" applyFont="1" applyFill="1"/>
    <xf numFmtId="0" fontId="2" fillId="4" borderId="1" xfId="0" applyFont="1" applyFill="1" applyBorder="1"/>
    <xf numFmtId="49" fontId="21" fillId="4" borderId="28" xfId="1" applyNumberFormat="1" applyFill="1" applyBorder="1"/>
    <xf numFmtId="49" fontId="21" fillId="4" borderId="29" xfId="1" applyNumberFormat="1" applyFill="1" applyBorder="1"/>
    <xf numFmtId="49" fontId="21" fillId="4" borderId="30" xfId="1" applyNumberFormat="1" applyFill="1" applyBorder="1"/>
    <xf numFmtId="49" fontId="21" fillId="4" borderId="31" xfId="1" applyNumberFormat="1" applyFill="1" applyBorder="1"/>
    <xf numFmtId="49" fontId="21" fillId="4" borderId="0" xfId="1" applyNumberFormat="1" applyFill="1" applyBorder="1"/>
    <xf numFmtId="49" fontId="21" fillId="4" borderId="32" xfId="1" applyNumberFormat="1" applyFill="1" applyBorder="1"/>
    <xf numFmtId="49" fontId="21" fillId="4" borderId="33" xfId="1" applyNumberFormat="1" applyFill="1" applyBorder="1"/>
    <xf numFmtId="49" fontId="21" fillId="4" borderId="10" xfId="1" applyNumberFormat="1" applyFill="1" applyBorder="1"/>
    <xf numFmtId="49" fontId="21" fillId="4" borderId="34" xfId="1" applyNumberFormat="1" applyFill="1" applyBorder="1"/>
    <xf numFmtId="0" fontId="7" fillId="4" borderId="22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21" xfId="0" applyFont="1" applyFill="1" applyBorder="1"/>
    <xf numFmtId="0" fontId="7" fillId="4" borderId="19" xfId="0" applyFont="1" applyFill="1" applyBorder="1"/>
    <xf numFmtId="0" fontId="7" fillId="4" borderId="20" xfId="0" applyFont="1" applyFill="1" applyBorder="1"/>
    <xf numFmtId="0" fontId="8" fillId="0" borderId="0" xfId="0" applyFont="1" applyBorder="1"/>
    <xf numFmtId="0" fontId="7" fillId="0" borderId="0" xfId="0" applyFont="1" applyBorder="1"/>
    <xf numFmtId="0" fontId="7" fillId="5" borderId="0" xfId="0" applyFont="1" applyFill="1"/>
    <xf numFmtId="0" fontId="22" fillId="0" borderId="0" xfId="0" applyFont="1"/>
    <xf numFmtId="0" fontId="20" fillId="0" borderId="0" xfId="0" applyFont="1"/>
    <xf numFmtId="0" fontId="0" fillId="0" borderId="0" xfId="0" applyFont="1"/>
    <xf numFmtId="0" fontId="9" fillId="2" borderId="47" xfId="0" applyFont="1" applyFill="1" applyBorder="1"/>
    <xf numFmtId="0" fontId="9" fillId="0" borderId="47" xfId="0" applyFont="1" applyBorder="1"/>
    <xf numFmtId="0" fontId="5" fillId="0" borderId="47" xfId="0" applyFont="1" applyBorder="1"/>
    <xf numFmtId="0" fontId="5" fillId="0" borderId="47" xfId="0" applyFont="1" applyFill="1" applyBorder="1"/>
    <xf numFmtId="0" fontId="5" fillId="4" borderId="0" xfId="0" applyFont="1" applyFill="1" applyBorder="1"/>
    <xf numFmtId="0" fontId="5" fillId="4" borderId="0" xfId="0" applyFont="1" applyFill="1" applyBorder="1" applyAlignment="1">
      <alignment horizontal="left"/>
    </xf>
    <xf numFmtId="0" fontId="2" fillId="5" borderId="0" xfId="0" applyFont="1" applyFill="1"/>
    <xf numFmtId="0" fontId="10" fillId="4" borderId="0" xfId="0" applyFont="1" applyFill="1"/>
    <xf numFmtId="0" fontId="0" fillId="0" borderId="11" xfId="0" applyBorder="1"/>
    <xf numFmtId="0" fontId="24" fillId="0" borderId="11" xfId="0" applyFont="1" applyBorder="1" applyAlignment="1"/>
    <xf numFmtId="0" fontId="24" fillId="0" borderId="37" xfId="0" applyFont="1" applyBorder="1" applyAlignment="1"/>
    <xf numFmtId="0" fontId="24" fillId="0" borderId="6" xfId="0" applyFont="1" applyBorder="1" applyAlignment="1"/>
    <xf numFmtId="0" fontId="24" fillId="0" borderId="1" xfId="0" applyFont="1" applyBorder="1" applyAlignment="1"/>
    <xf numFmtId="0" fontId="23" fillId="0" borderId="0" xfId="0" applyFont="1" applyBorder="1" applyAlignment="1"/>
    <xf numFmtId="0" fontId="24" fillId="0" borderId="38" xfId="0" applyFont="1" applyBorder="1" applyAlignment="1"/>
    <xf numFmtId="0" fontId="24" fillId="0" borderId="0" xfId="0" applyFont="1" applyBorder="1" applyAlignment="1"/>
    <xf numFmtId="0" fontId="23" fillId="0" borderId="11" xfId="0" applyFont="1" applyFill="1" applyBorder="1"/>
    <xf numFmtId="0" fontId="24" fillId="0" borderId="11" xfId="0" applyFont="1" applyFill="1" applyBorder="1"/>
    <xf numFmtId="0" fontId="23" fillId="0" borderId="11" xfId="0" applyFont="1" applyBorder="1"/>
    <xf numFmtId="0" fontId="24" fillId="0" borderId="11" xfId="0" applyFont="1" applyBorder="1"/>
    <xf numFmtId="0" fontId="23" fillId="0" borderId="39" xfId="0" applyFont="1" applyBorder="1"/>
    <xf numFmtId="0" fontId="24" fillId="0" borderId="39" xfId="0" applyFont="1" applyBorder="1"/>
    <xf numFmtId="0" fontId="0" fillId="0" borderId="0" xfId="0" applyBorder="1"/>
    <xf numFmtId="0" fontId="23" fillId="0" borderId="0" xfId="0" applyFont="1" applyFill="1" applyBorder="1"/>
    <xf numFmtId="0" fontId="24" fillId="0" borderId="0" xfId="0" applyFont="1" applyFill="1" applyBorder="1"/>
    <xf numFmtId="0" fontId="23" fillId="0" borderId="0" xfId="0" applyFont="1" applyBorder="1"/>
    <xf numFmtId="0" fontId="24" fillId="0" borderId="0" xfId="0" applyFont="1" applyBorder="1"/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5" fillId="0" borderId="0" xfId="0" applyFont="1" applyBorder="1"/>
    <xf numFmtId="49" fontId="24" fillId="0" borderId="0" xfId="0" applyNumberFormat="1" applyFont="1" applyBorder="1" applyAlignment="1">
      <alignment horizontal="right"/>
    </xf>
    <xf numFmtId="0" fontId="0" fillId="0" borderId="0" xfId="0" applyFill="1"/>
    <xf numFmtId="0" fontId="0" fillId="0" borderId="0" xfId="0" applyFont="1" applyFill="1"/>
    <xf numFmtId="49" fontId="0" fillId="0" borderId="0" xfId="0" applyNumberFormat="1" applyFill="1"/>
    <xf numFmtId="0" fontId="0" fillId="6" borderId="0" xfId="0" applyFill="1"/>
    <xf numFmtId="0" fontId="0" fillId="6" borderId="0" xfId="0" applyFont="1" applyFill="1"/>
    <xf numFmtId="0" fontId="5" fillId="0" borderId="0" xfId="0" applyFont="1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11" fillId="0" borderId="1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2" fillId="0" borderId="48" xfId="0" applyFont="1" applyBorder="1"/>
  </cellXfs>
  <cellStyles count="2">
    <cellStyle name="Normální" xfId="0" builtinId="0"/>
    <cellStyle name="Správně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D61"/>
  <sheetViews>
    <sheetView workbookViewId="0">
      <selection activeCell="E8" sqref="E8"/>
    </sheetView>
  </sheetViews>
  <sheetFormatPr defaultRowHeight="12.75" x14ac:dyDescent="0.2"/>
  <cols>
    <col min="1" max="1" width="8" customWidth="1"/>
    <col min="2" max="2" width="6.140625" customWidth="1"/>
  </cols>
  <sheetData>
    <row r="6" spans="1:4" x14ac:dyDescent="0.2">
      <c r="A6" s="76" t="s">
        <v>21</v>
      </c>
      <c r="C6" s="132" t="s">
        <v>111</v>
      </c>
    </row>
    <row r="7" spans="1:4" x14ac:dyDescent="0.2">
      <c r="A7" s="76"/>
      <c r="C7" s="84"/>
      <c r="D7" s="79"/>
    </row>
    <row r="8" spans="1:4" x14ac:dyDescent="0.2">
      <c r="A8" s="76" t="s">
        <v>22</v>
      </c>
      <c r="C8" s="132" t="s">
        <v>110</v>
      </c>
    </row>
    <row r="9" spans="1:4" x14ac:dyDescent="0.2">
      <c r="A9" s="76" t="s">
        <v>24</v>
      </c>
      <c r="C9" s="76">
        <f>COUNTA(sez!B2:B247)</f>
        <v>32</v>
      </c>
    </row>
    <row r="11" spans="1:4" x14ac:dyDescent="0.2">
      <c r="A11" s="76"/>
    </row>
    <row r="12" spans="1:4" x14ac:dyDescent="0.2">
      <c r="A12" s="76"/>
    </row>
    <row r="13" spans="1:4" x14ac:dyDescent="0.2">
      <c r="A13" s="76"/>
    </row>
    <row r="14" spans="1:4" ht="15.75" x14ac:dyDescent="0.25">
      <c r="A14" s="83"/>
    </row>
    <row r="16" spans="1:4" x14ac:dyDescent="0.2">
      <c r="B16" s="76"/>
    </row>
    <row r="17" spans="2:2" x14ac:dyDescent="0.2">
      <c r="B17" s="76"/>
    </row>
    <row r="19" spans="2:2" x14ac:dyDescent="0.2">
      <c r="B19" s="76"/>
    </row>
    <row r="23" spans="2:2" x14ac:dyDescent="0.2">
      <c r="B23" s="76"/>
    </row>
    <row r="24" spans="2:2" x14ac:dyDescent="0.2">
      <c r="B24" s="76"/>
    </row>
    <row r="25" spans="2:2" x14ac:dyDescent="0.2">
      <c r="B25" s="76"/>
    </row>
    <row r="29" spans="2:2" x14ac:dyDescent="0.2">
      <c r="B29" s="76"/>
    </row>
    <row r="30" spans="2:2" x14ac:dyDescent="0.2">
      <c r="B30" s="76"/>
    </row>
    <row r="31" spans="2:2" x14ac:dyDescent="0.2">
      <c r="B31" s="76"/>
    </row>
    <row r="32" spans="2:2" x14ac:dyDescent="0.2">
      <c r="B32" s="76"/>
    </row>
    <row r="35" spans="2:2" x14ac:dyDescent="0.2">
      <c r="B35" s="76"/>
    </row>
    <row r="36" spans="2:2" x14ac:dyDescent="0.2">
      <c r="B36" s="76"/>
    </row>
    <row r="37" spans="2:2" x14ac:dyDescent="0.2">
      <c r="B37" s="76"/>
    </row>
    <row r="40" spans="2:2" x14ac:dyDescent="0.2">
      <c r="B40" s="76"/>
    </row>
    <row r="43" spans="2:2" x14ac:dyDescent="0.2">
      <c r="B43" s="76"/>
    </row>
    <row r="51" spans="2:2" x14ac:dyDescent="0.2">
      <c r="B51" s="76"/>
    </row>
    <row r="55" spans="2:2" x14ac:dyDescent="0.2">
      <c r="B55" s="76"/>
    </row>
    <row r="57" spans="2:2" x14ac:dyDescent="0.2">
      <c r="B57" s="76"/>
    </row>
    <row r="61" spans="2:2" x14ac:dyDescent="0.2">
      <c r="B61" s="76"/>
    </row>
  </sheetData>
  <phoneticPr fontId="0" type="noConversion"/>
  <pageMargins left="0.19685039370078741" right="0.19685039370078741" top="0.19685039370078741" bottom="0.59055118110236227" header="0.51181102362204722" footer="0.51181102362204722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9"/>
  <sheetViews>
    <sheetView topLeftCell="A16" workbookViewId="0">
      <selection activeCell="D12" sqref="D12"/>
    </sheetView>
  </sheetViews>
  <sheetFormatPr defaultRowHeight="12.75" x14ac:dyDescent="0.2"/>
  <cols>
    <col min="1" max="1" width="23.7109375" style="124" bestFit="1" customWidth="1"/>
    <col min="2" max="2" width="6.28515625" style="124" customWidth="1"/>
    <col min="3" max="3" width="17.7109375" style="124" customWidth="1"/>
    <col min="4" max="4" width="21.140625" style="124" bestFit="1" customWidth="1"/>
    <col min="5" max="5" width="4" style="124" bestFit="1" customWidth="1"/>
    <col min="6" max="6" width="16.28515625" style="124" customWidth="1"/>
    <col min="7" max="7" width="20.28515625" style="124" customWidth="1"/>
    <col min="8" max="8" width="12.5703125" bestFit="1" customWidth="1"/>
    <col min="10" max="10" width="4" bestFit="1" customWidth="1"/>
    <col min="11" max="11" width="4.5703125" bestFit="1" customWidth="1"/>
  </cols>
  <sheetData>
    <row r="1" spans="1:10" x14ac:dyDescent="0.2">
      <c r="A1" s="123" t="s">
        <v>25</v>
      </c>
      <c r="B1" s="123" t="s">
        <v>0</v>
      </c>
      <c r="C1" s="123" t="s">
        <v>1</v>
      </c>
      <c r="D1" s="123" t="s">
        <v>2</v>
      </c>
      <c r="E1" s="123" t="s">
        <v>0</v>
      </c>
      <c r="F1" s="123" t="s">
        <v>3</v>
      </c>
      <c r="G1" s="123" t="s">
        <v>2</v>
      </c>
      <c r="H1" s="76"/>
      <c r="I1" s="76"/>
      <c r="J1" s="76"/>
    </row>
    <row r="2" spans="1:10" s="156" customFormat="1" x14ac:dyDescent="0.2">
      <c r="A2" s="121" t="str">
        <f>'1.st. M'!M4</f>
        <v>1.st. U19 - muži Skupina A</v>
      </c>
      <c r="B2" s="121">
        <f>'1.st. M'!N4</f>
        <v>2</v>
      </c>
      <c r="C2" s="121" t="str">
        <f>'1.st. M'!O4</f>
        <v>Nespěšný Hynek</v>
      </c>
      <c r="D2" s="121" t="str">
        <f>'1.st. M'!P4</f>
        <v>MS Brno</v>
      </c>
      <c r="E2" s="121">
        <f>'1.st. M'!Q4</f>
        <v>0</v>
      </c>
      <c r="F2" s="121" t="str">
        <f>'1.st. M'!R4</f>
        <v>----------</v>
      </c>
      <c r="G2" s="121" t="str">
        <f>'1.st. M'!S4</f>
        <v/>
      </c>
      <c r="H2" s="158"/>
    </row>
    <row r="3" spans="1:10" s="156" customFormat="1" x14ac:dyDescent="0.2">
      <c r="A3" s="121" t="str">
        <f>'1.st. M'!M5</f>
        <v>1.st. U19 - muži Skupina A</v>
      </c>
      <c r="B3" s="121">
        <f>'1.st. M'!N5</f>
        <v>22</v>
      </c>
      <c r="C3" s="121" t="str">
        <f>'1.st. M'!O5</f>
        <v>Lysoněk Filip</v>
      </c>
      <c r="D3" s="121" t="str">
        <f>'1.st. M'!P5</f>
        <v>Velké Opatovice</v>
      </c>
      <c r="E3" s="121">
        <f>'1.st. M'!Q5</f>
        <v>21</v>
      </c>
      <c r="F3" s="121" t="str">
        <f>'1.st. M'!R5</f>
        <v>Lokaj David</v>
      </c>
      <c r="G3" s="121" t="str">
        <f>'1.st. M'!S5</f>
        <v>Letonice</v>
      </c>
      <c r="H3" s="158"/>
    </row>
    <row r="4" spans="1:10" s="156" customFormat="1" x14ac:dyDescent="0.2">
      <c r="A4" s="121" t="str">
        <f>'1.st. M'!M6</f>
        <v>1.st. U19 - muži Skupina A</v>
      </c>
      <c r="B4" s="121">
        <f>'1.st. M'!N6</f>
        <v>0</v>
      </c>
      <c r="C4" s="121" t="str">
        <f>'1.st. M'!O6</f>
        <v>----------</v>
      </c>
      <c r="D4" s="121" t="str">
        <f>'1.st. M'!P6</f>
        <v/>
      </c>
      <c r="E4" s="121">
        <f>'1.st. M'!Q6</f>
        <v>21</v>
      </c>
      <c r="F4" s="121" t="str">
        <f>'1.st. M'!R6</f>
        <v>Lokaj David</v>
      </c>
      <c r="G4" s="121" t="str">
        <f>'1.st. M'!S6</f>
        <v>Letonice</v>
      </c>
      <c r="H4" s="158"/>
    </row>
    <row r="5" spans="1:10" s="156" customFormat="1" x14ac:dyDescent="0.2">
      <c r="A5" s="121" t="str">
        <f>'1.st. M'!M7</f>
        <v>1.st. U19 - muži Skupina A</v>
      </c>
      <c r="B5" s="121">
        <f>'1.st. M'!N7</f>
        <v>2</v>
      </c>
      <c r="C5" s="121" t="str">
        <f>'1.st. M'!O7</f>
        <v>Nespěšný Hynek</v>
      </c>
      <c r="D5" s="121" t="str">
        <f>'1.st. M'!P7</f>
        <v>MS Brno</v>
      </c>
      <c r="E5" s="121">
        <f>'1.st. M'!Q7</f>
        <v>22</v>
      </c>
      <c r="F5" s="121" t="str">
        <f>'1.st. M'!R7</f>
        <v>Lysoněk Filip</v>
      </c>
      <c r="G5" s="121" t="str">
        <f>'1.st. M'!S7</f>
        <v>Velké Opatovice</v>
      </c>
      <c r="H5" s="158"/>
    </row>
    <row r="6" spans="1:10" s="156" customFormat="1" x14ac:dyDescent="0.2">
      <c r="A6" s="121" t="str">
        <f>'1.st. M'!M8</f>
        <v>1.st. U19 - muži Skupina A</v>
      </c>
      <c r="B6" s="121">
        <f>'1.st. M'!N8</f>
        <v>22</v>
      </c>
      <c r="C6" s="121" t="str">
        <f>'1.st. M'!O8</f>
        <v>Lysoněk Filip</v>
      </c>
      <c r="D6" s="121" t="str">
        <f>'1.st. M'!P8</f>
        <v>Velké Opatovice</v>
      </c>
      <c r="E6" s="121">
        <f>'1.st. M'!Q8</f>
        <v>0</v>
      </c>
      <c r="F6" s="121" t="str">
        <f>'1.st. M'!R8</f>
        <v>----------</v>
      </c>
      <c r="G6" s="121" t="str">
        <f>'1.st. M'!S8</f>
        <v/>
      </c>
      <c r="H6" s="158"/>
    </row>
    <row r="7" spans="1:10" s="156" customFormat="1" x14ac:dyDescent="0.2">
      <c r="A7" s="121" t="str">
        <f>'1.st. M'!M9</f>
        <v>1.st. U19 - muži Skupina A</v>
      </c>
      <c r="B7" s="121">
        <f>'1.st. M'!N9</f>
        <v>21</v>
      </c>
      <c r="C7" s="121" t="str">
        <f>'1.st. M'!O9</f>
        <v>Lokaj David</v>
      </c>
      <c r="D7" s="121" t="str">
        <f>'1.st. M'!P9</f>
        <v>Letonice</v>
      </c>
      <c r="E7" s="121">
        <f>'1.st. M'!Q9</f>
        <v>2</v>
      </c>
      <c r="F7" s="121" t="str">
        <f>'1.st. M'!R9</f>
        <v>Nespěšný Hynek</v>
      </c>
      <c r="G7" s="121" t="str">
        <f>'1.st. M'!S9</f>
        <v>MS Brno</v>
      </c>
      <c r="H7" s="158"/>
    </row>
    <row r="8" spans="1:10" s="156" customFormat="1" x14ac:dyDescent="0.2">
      <c r="A8" s="2" t="str">
        <f>'1.st. M'!M11</f>
        <v>1.st. U19 - muži Skupina B</v>
      </c>
      <c r="B8" s="2">
        <f>'1.st. M'!N11</f>
        <v>3</v>
      </c>
      <c r="C8" s="2" t="str">
        <f>'1.st. M'!O11</f>
        <v>Krištof Lukáš</v>
      </c>
      <c r="D8" s="2" t="str">
        <f>'1.st. M'!P11</f>
        <v>Tišnov</v>
      </c>
      <c r="E8" s="2">
        <f>'1.st. M'!Q11</f>
        <v>0</v>
      </c>
      <c r="F8" s="2" t="str">
        <f>'1.st. M'!R11</f>
        <v>----------</v>
      </c>
      <c r="G8" s="2" t="str">
        <f>'1.st. M'!S11</f>
        <v/>
      </c>
      <c r="H8" s="158"/>
    </row>
    <row r="9" spans="1:10" s="156" customFormat="1" x14ac:dyDescent="0.2">
      <c r="A9" s="2" t="str">
        <f>'1.st. M'!M12</f>
        <v>1.st. U19 - muži Skupina B</v>
      </c>
      <c r="B9" s="2">
        <f>'1.st. M'!N12</f>
        <v>23</v>
      </c>
      <c r="C9" s="2" t="str">
        <f>'1.st. M'!O12</f>
        <v>Pluháček Adam</v>
      </c>
      <c r="D9" s="2" t="str">
        <f>'1.st. M'!P12</f>
        <v>Sokol Brno I</v>
      </c>
      <c r="E9" s="2">
        <f>'1.st. M'!Q12</f>
        <v>11</v>
      </c>
      <c r="F9" s="2" t="str">
        <f>'1.st. M'!R12</f>
        <v>Krejčí David</v>
      </c>
      <c r="G9" s="2" t="str">
        <f>'1.st. M'!S12</f>
        <v>MS Brno</v>
      </c>
      <c r="H9" s="158"/>
    </row>
    <row r="10" spans="1:10" s="156" customFormat="1" x14ac:dyDescent="0.2">
      <c r="A10" s="2" t="str">
        <f>'1.st. M'!M13</f>
        <v>1.st. U19 - muži Skupina B</v>
      </c>
      <c r="B10" s="2">
        <f>'1.st. M'!N13</f>
        <v>0</v>
      </c>
      <c r="C10" s="2" t="str">
        <f>'1.st. M'!O13</f>
        <v>----------</v>
      </c>
      <c r="D10" s="2" t="str">
        <f>'1.st. M'!P13</f>
        <v/>
      </c>
      <c r="E10" s="2">
        <f>'1.st. M'!Q13</f>
        <v>11</v>
      </c>
      <c r="F10" s="2" t="str">
        <f>'1.st. M'!R13</f>
        <v>Krejčí David</v>
      </c>
      <c r="G10" s="2" t="str">
        <f>'1.st. M'!S13</f>
        <v>MS Brno</v>
      </c>
      <c r="H10" s="158"/>
    </row>
    <row r="11" spans="1:10" s="156" customFormat="1" x14ac:dyDescent="0.2">
      <c r="A11" s="2" t="str">
        <f>'1.st. M'!M14</f>
        <v>1.st. U19 - muži Skupina B</v>
      </c>
      <c r="B11" s="2">
        <f>'1.st. M'!N14</f>
        <v>3</v>
      </c>
      <c r="C11" s="2" t="str">
        <f>'1.st. M'!O14</f>
        <v>Krištof Lukáš</v>
      </c>
      <c r="D11" s="2" t="str">
        <f>'1.st. M'!P14</f>
        <v>Tišnov</v>
      </c>
      <c r="E11" s="2">
        <f>'1.st. M'!Q14</f>
        <v>23</v>
      </c>
      <c r="F11" s="2" t="str">
        <f>'1.st. M'!R14</f>
        <v>Pluháček Adam</v>
      </c>
      <c r="G11" s="2" t="str">
        <f>'1.st. M'!S14</f>
        <v>Sokol Brno I</v>
      </c>
      <c r="H11" s="158"/>
    </row>
    <row r="12" spans="1:10" s="156" customFormat="1" x14ac:dyDescent="0.2">
      <c r="A12" s="2" t="str">
        <f>'1.st. M'!M15</f>
        <v>1.st. U19 - muži Skupina B</v>
      </c>
      <c r="B12" s="2">
        <f>'1.st. M'!N15</f>
        <v>23</v>
      </c>
      <c r="C12" s="2" t="str">
        <f>'1.st. M'!O15</f>
        <v>Pluháček Adam</v>
      </c>
      <c r="D12" s="2" t="str">
        <f>'1.st. M'!P15</f>
        <v>Sokol Brno I</v>
      </c>
      <c r="E12" s="2">
        <f>'1.st. M'!Q15</f>
        <v>0</v>
      </c>
      <c r="F12" s="2" t="str">
        <f>'1.st. M'!R15</f>
        <v>----------</v>
      </c>
      <c r="G12" s="2" t="str">
        <f>'1.st. M'!S15</f>
        <v/>
      </c>
      <c r="H12" s="158"/>
    </row>
    <row r="13" spans="1:10" s="156" customFormat="1" x14ac:dyDescent="0.2">
      <c r="A13" s="2" t="str">
        <f>'1.st. M'!M16</f>
        <v>1.st. U19 - muži Skupina B</v>
      </c>
      <c r="B13" s="2">
        <f>'1.st. M'!N16</f>
        <v>11</v>
      </c>
      <c r="C13" s="2" t="str">
        <f>'1.st. M'!O16</f>
        <v>Krejčí David</v>
      </c>
      <c r="D13" s="2" t="str">
        <f>'1.st. M'!P16</f>
        <v>MS Brno</v>
      </c>
      <c r="E13" s="2">
        <f>'1.st. M'!Q16</f>
        <v>3</v>
      </c>
      <c r="F13" s="2" t="str">
        <f>'1.st. M'!R16</f>
        <v>Krištof Lukáš</v>
      </c>
      <c r="G13" s="2" t="str">
        <f>'1.st. M'!S16</f>
        <v>Tišnov</v>
      </c>
      <c r="H13" s="158"/>
    </row>
    <row r="14" spans="1:10" s="156" customFormat="1" x14ac:dyDescent="0.2">
      <c r="A14" s="159" t="str">
        <f>'1.st. M'!M18</f>
        <v>1.st. U19 - muži Skupina C</v>
      </c>
      <c r="B14" s="160">
        <f>'1.st. M'!N18</f>
        <v>4</v>
      </c>
      <c r="C14" s="160" t="str">
        <f>'1.st. M'!O18</f>
        <v>Luska Petr</v>
      </c>
      <c r="D14" s="160" t="str">
        <f>'1.st. M'!P18</f>
        <v>KST Vyškov</v>
      </c>
      <c r="E14" s="160">
        <f>'1.st. M'!Q18</f>
        <v>0</v>
      </c>
      <c r="F14" s="160" t="str">
        <f>'1.st. M'!R18</f>
        <v>----------</v>
      </c>
      <c r="G14" s="160" t="str">
        <f>'1.st. M'!S18</f>
        <v/>
      </c>
      <c r="H14" s="158"/>
    </row>
    <row r="15" spans="1:10" s="156" customFormat="1" x14ac:dyDescent="0.2">
      <c r="A15" s="159" t="str">
        <f>'1.st. M'!M19</f>
        <v>1.st. U19 - muži Skupina C</v>
      </c>
      <c r="B15" s="160">
        <f>'1.st. M'!N19</f>
        <v>20</v>
      </c>
      <c r="C15" s="160" t="str">
        <f>'1.st. M'!O19</f>
        <v>Ševčík Ondřej</v>
      </c>
      <c r="D15" s="160" t="str">
        <f>'1.st. M'!P19</f>
        <v>Velké Opatovice</v>
      </c>
      <c r="E15" s="160">
        <f>'1.st. M'!Q19</f>
        <v>9</v>
      </c>
      <c r="F15" s="160" t="str">
        <f>'1.st. M'!R19</f>
        <v>Štěpánek Ondřej</v>
      </c>
      <c r="G15" s="160" t="str">
        <f>'1.st. M'!S19</f>
        <v>KST Blansko</v>
      </c>
      <c r="H15" s="158"/>
    </row>
    <row r="16" spans="1:10" s="156" customFormat="1" x14ac:dyDescent="0.2">
      <c r="A16" s="159" t="str">
        <f>'1.st. M'!M20</f>
        <v>1.st. U19 - muži Skupina C</v>
      </c>
      <c r="B16" s="160">
        <f>'1.st. M'!N20</f>
        <v>0</v>
      </c>
      <c r="C16" s="160" t="str">
        <f>'1.st. M'!O20</f>
        <v>----------</v>
      </c>
      <c r="D16" s="160" t="str">
        <f>'1.st. M'!P20</f>
        <v/>
      </c>
      <c r="E16" s="160">
        <f>'1.st. M'!Q20</f>
        <v>9</v>
      </c>
      <c r="F16" s="160" t="str">
        <f>'1.st. M'!R20</f>
        <v>Štěpánek Ondřej</v>
      </c>
      <c r="G16" s="160" t="str">
        <f>'1.st. M'!S20</f>
        <v>KST Blansko</v>
      </c>
      <c r="H16" s="158"/>
    </row>
    <row r="17" spans="1:8" s="156" customFormat="1" x14ac:dyDescent="0.2">
      <c r="A17" s="159" t="str">
        <f>'1.st. M'!M21</f>
        <v>1.st. U19 - muži Skupina C</v>
      </c>
      <c r="B17" s="160">
        <f>'1.st. M'!N21</f>
        <v>4</v>
      </c>
      <c r="C17" s="160" t="str">
        <f>'1.st. M'!O21</f>
        <v>Luska Petr</v>
      </c>
      <c r="D17" s="160" t="str">
        <f>'1.st. M'!P21</f>
        <v>KST Vyškov</v>
      </c>
      <c r="E17" s="160">
        <f>'1.st. M'!Q21</f>
        <v>20</v>
      </c>
      <c r="F17" s="160" t="str">
        <f>'1.st. M'!R21</f>
        <v>Ševčík Ondřej</v>
      </c>
      <c r="G17" s="160" t="str">
        <f>'1.st. M'!S21</f>
        <v>Velké Opatovice</v>
      </c>
      <c r="H17" s="158"/>
    </row>
    <row r="18" spans="1:8" s="156" customFormat="1" x14ac:dyDescent="0.2">
      <c r="A18" s="159" t="str">
        <f>'1.st. M'!M22</f>
        <v>1.st. U19 - muži Skupina C</v>
      </c>
      <c r="B18" s="160">
        <f>'1.st. M'!N22</f>
        <v>20</v>
      </c>
      <c r="C18" s="160" t="str">
        <f>'1.st. M'!O22</f>
        <v>Ševčík Ondřej</v>
      </c>
      <c r="D18" s="160" t="str">
        <f>'1.st. M'!P22</f>
        <v>Velké Opatovice</v>
      </c>
      <c r="E18" s="160">
        <f>'1.st. M'!Q22</f>
        <v>0</v>
      </c>
      <c r="F18" s="160" t="str">
        <f>'1.st. M'!R22</f>
        <v>----------</v>
      </c>
      <c r="G18" s="160" t="str">
        <f>'1.st. M'!S22</f>
        <v/>
      </c>
      <c r="H18" s="158"/>
    </row>
    <row r="19" spans="1:8" s="156" customFormat="1" x14ac:dyDescent="0.2">
      <c r="A19" s="159" t="str">
        <f>'1.st. M'!M23</f>
        <v>1.st. U19 - muži Skupina C</v>
      </c>
      <c r="B19" s="160">
        <f>'1.st. M'!N23</f>
        <v>9</v>
      </c>
      <c r="C19" s="160" t="str">
        <f>'1.st. M'!O23</f>
        <v>Štěpánek Ondřej</v>
      </c>
      <c r="D19" s="160" t="str">
        <f>'1.st. M'!P23</f>
        <v>KST Blansko</v>
      </c>
      <c r="E19" s="160">
        <f>'1.st. M'!Q23</f>
        <v>4</v>
      </c>
      <c r="F19" s="160" t="str">
        <f>'1.st. M'!R23</f>
        <v>Luska Petr</v>
      </c>
      <c r="G19" s="160" t="str">
        <f>'1.st. M'!S23</f>
        <v>KST Vyškov</v>
      </c>
      <c r="H19" s="158"/>
    </row>
    <row r="20" spans="1:8" s="156" customFormat="1" x14ac:dyDescent="0.2">
      <c r="A20" s="157" t="str">
        <f>'1.st. M'!M25</f>
        <v>1.st. U19 - muži Skupina D</v>
      </c>
      <c r="B20" s="157">
        <f>'1.st. M'!N25</f>
        <v>5</v>
      </c>
      <c r="C20" s="157" t="str">
        <f>'1.st. M'!O25</f>
        <v>Drápal Metoděj</v>
      </c>
      <c r="D20" s="157" t="str">
        <f>'1.st. M'!P25</f>
        <v>MS Brno</v>
      </c>
      <c r="E20" s="157">
        <f>'1.st. M'!Q25</f>
        <v>0</v>
      </c>
      <c r="F20" s="157" t="str">
        <f>'1.st. M'!R25</f>
        <v>----------</v>
      </c>
      <c r="G20" s="157" t="str">
        <f>'1.st. M'!S25</f>
        <v/>
      </c>
    </row>
    <row r="21" spans="1:8" s="156" customFormat="1" x14ac:dyDescent="0.2">
      <c r="A21" s="157" t="str">
        <f>'1.st. M'!M26</f>
        <v>1.st. U19 - muži Skupina D</v>
      </c>
      <c r="B21" s="157">
        <f>'1.st. M'!N26</f>
        <v>27</v>
      </c>
      <c r="C21" s="157" t="str">
        <f>'1.st. M'!O26</f>
        <v>Wutka Michal</v>
      </c>
      <c r="D21" s="157" t="str">
        <f>'1.st. M'!P26</f>
        <v>KST Blansko</v>
      </c>
      <c r="E21" s="157">
        <f>'1.st. M'!Q26</f>
        <v>10</v>
      </c>
      <c r="F21" s="157" t="str">
        <f>'1.st. M'!R26</f>
        <v>Vincenec Oliver</v>
      </c>
      <c r="G21" s="157" t="str">
        <f>'1.st. M'!S26</f>
        <v>KST Vyškov</v>
      </c>
    </row>
    <row r="22" spans="1:8" s="156" customFormat="1" x14ac:dyDescent="0.2">
      <c r="A22" s="157" t="str">
        <f>'1.st. M'!M27</f>
        <v>1.st. U19 - muži Skupina D</v>
      </c>
      <c r="B22" s="157">
        <f>'1.st. M'!N27</f>
        <v>0</v>
      </c>
      <c r="C22" s="157" t="str">
        <f>'1.st. M'!O27</f>
        <v>----------</v>
      </c>
      <c r="D22" s="157" t="str">
        <f>'1.st. M'!P27</f>
        <v/>
      </c>
      <c r="E22" s="157">
        <f>'1.st. M'!Q27</f>
        <v>10</v>
      </c>
      <c r="F22" s="157" t="str">
        <f>'1.st. M'!R27</f>
        <v>Vincenec Oliver</v>
      </c>
      <c r="G22" s="157" t="str">
        <f>'1.st. M'!S27</f>
        <v>KST Vyškov</v>
      </c>
    </row>
    <row r="23" spans="1:8" s="156" customFormat="1" x14ac:dyDescent="0.2">
      <c r="A23" s="157" t="str">
        <f>'1.st. M'!M28</f>
        <v>1.st. U19 - muži Skupina D</v>
      </c>
      <c r="B23" s="157">
        <f>'1.st. M'!N28</f>
        <v>5</v>
      </c>
      <c r="C23" s="157" t="str">
        <f>'1.st. M'!O28</f>
        <v>Drápal Metoděj</v>
      </c>
      <c r="D23" s="157" t="str">
        <f>'1.st. M'!P28</f>
        <v>MS Brno</v>
      </c>
      <c r="E23" s="157">
        <f>'1.st. M'!Q28</f>
        <v>27</v>
      </c>
      <c r="F23" s="157" t="str">
        <f>'1.st. M'!R28</f>
        <v>Wutka Michal</v>
      </c>
      <c r="G23" s="157" t="str">
        <f>'1.st. M'!S28</f>
        <v>KST Blansko</v>
      </c>
    </row>
    <row r="24" spans="1:8" s="156" customFormat="1" x14ac:dyDescent="0.2">
      <c r="A24" s="157" t="str">
        <f>'1.st. M'!M29</f>
        <v>1.st. U19 - muži Skupina D</v>
      </c>
      <c r="B24" s="157">
        <f>'1.st. M'!N29</f>
        <v>27</v>
      </c>
      <c r="C24" s="157" t="str">
        <f>'1.st. M'!O29</f>
        <v>Wutka Michal</v>
      </c>
      <c r="D24" s="157" t="str">
        <f>'1.st. M'!P29</f>
        <v>KST Blansko</v>
      </c>
      <c r="E24" s="157">
        <f>'1.st. M'!Q29</f>
        <v>0</v>
      </c>
      <c r="F24" s="157" t="str">
        <f>'1.st. M'!R29</f>
        <v>----------</v>
      </c>
      <c r="G24" s="157" t="str">
        <f>'1.st. M'!S29</f>
        <v/>
      </c>
    </row>
    <row r="25" spans="1:8" s="156" customFormat="1" x14ac:dyDescent="0.2">
      <c r="A25" s="157" t="str">
        <f>'1.st. M'!M30</f>
        <v>1.st. U19 - muži Skupina D</v>
      </c>
      <c r="B25" s="157">
        <f>'1.st. M'!N30</f>
        <v>10</v>
      </c>
      <c r="C25" s="157" t="str">
        <f>'1.st. M'!O30</f>
        <v>Vincenec Oliver</v>
      </c>
      <c r="D25" s="157" t="str">
        <f>'1.st. M'!P30</f>
        <v>KST Vyškov</v>
      </c>
      <c r="E25" s="157">
        <f>'1.st. M'!Q30</f>
        <v>5</v>
      </c>
      <c r="F25" s="157" t="str">
        <f>'1.st. M'!R30</f>
        <v>Drápal Metoděj</v>
      </c>
      <c r="G25" s="157" t="str">
        <f>'1.st. M'!S30</f>
        <v>MS Brno</v>
      </c>
    </row>
    <row r="26" spans="1:8" s="156" customFormat="1" x14ac:dyDescent="0.2">
      <c r="A26" s="159" t="str">
        <f>'1.st. M'!M32</f>
        <v>1.st. U19 - muži Skupina E</v>
      </c>
      <c r="B26" s="160">
        <f>'1.st. M'!N32</f>
        <v>6</v>
      </c>
      <c r="C26" s="160" t="str">
        <f>'1.st. M'!O32</f>
        <v>Pařízek Richard</v>
      </c>
      <c r="D26" s="160" t="str">
        <f>'1.st. M'!P32</f>
        <v>SKST Hodonín</v>
      </c>
      <c r="E26" s="160">
        <f>'1.st. M'!Q32</f>
        <v>0</v>
      </c>
      <c r="F26" s="160" t="str">
        <f>'1.st. M'!R32</f>
        <v>----------</v>
      </c>
      <c r="G26" s="160" t="str">
        <f>'1.st. M'!S32</f>
        <v/>
      </c>
      <c r="H26" s="158"/>
    </row>
    <row r="27" spans="1:8" s="156" customFormat="1" x14ac:dyDescent="0.2">
      <c r="A27" s="159" t="str">
        <f>'1.st. M'!M33</f>
        <v>1.st. U19 - muži Skupina E</v>
      </c>
      <c r="B27" s="160">
        <f>'1.st. M'!N33</f>
        <v>25</v>
      </c>
      <c r="C27" s="160" t="str">
        <f>'1.st. M'!O33</f>
        <v>Hampl Petr</v>
      </c>
      <c r="D27" s="160" t="str">
        <f>'1.st. M'!P33</f>
        <v>KST Blansko</v>
      </c>
      <c r="E27" s="160">
        <f>'1.st. M'!Q33</f>
        <v>12</v>
      </c>
      <c r="F27" s="160" t="str">
        <f>'1.st. M'!R33</f>
        <v>Horníček Lukáš</v>
      </c>
      <c r="G27" s="160" t="str">
        <f>'1.st. M'!S33</f>
        <v>MS Brno</v>
      </c>
      <c r="H27" s="158"/>
    </row>
    <row r="28" spans="1:8" s="156" customFormat="1" x14ac:dyDescent="0.2">
      <c r="A28" s="159" t="str">
        <f>'1.st. M'!M34</f>
        <v>1.st. U19 - muži Skupina E</v>
      </c>
      <c r="B28" s="160">
        <f>'1.st. M'!N34</f>
        <v>0</v>
      </c>
      <c r="C28" s="160" t="str">
        <f>'1.st. M'!O34</f>
        <v>----------</v>
      </c>
      <c r="D28" s="160" t="str">
        <f>'1.st. M'!P34</f>
        <v/>
      </c>
      <c r="E28" s="160">
        <f>'1.st. M'!Q34</f>
        <v>12</v>
      </c>
      <c r="F28" s="160" t="str">
        <f>'1.st. M'!R34</f>
        <v>Horníček Lukáš</v>
      </c>
      <c r="G28" s="160" t="str">
        <f>'1.st. M'!S34</f>
        <v>MS Brno</v>
      </c>
      <c r="H28" s="158"/>
    </row>
    <row r="29" spans="1:8" s="156" customFormat="1" x14ac:dyDescent="0.2">
      <c r="A29" s="159" t="str">
        <f>'1.st. M'!M35</f>
        <v>1.st. U19 - muži Skupina E</v>
      </c>
      <c r="B29" s="160">
        <f>'1.st. M'!N35</f>
        <v>6</v>
      </c>
      <c r="C29" s="160" t="str">
        <f>'1.st. M'!O35</f>
        <v>Pařízek Richard</v>
      </c>
      <c r="D29" s="160" t="str">
        <f>'1.st. M'!P35</f>
        <v>SKST Hodonín</v>
      </c>
      <c r="E29" s="160">
        <f>'1.st. M'!Q35</f>
        <v>25</v>
      </c>
      <c r="F29" s="160" t="str">
        <f>'1.st. M'!R35</f>
        <v>Hampl Petr</v>
      </c>
      <c r="G29" s="160" t="str">
        <f>'1.st. M'!S35</f>
        <v>KST Blansko</v>
      </c>
      <c r="H29" s="158"/>
    </row>
    <row r="30" spans="1:8" s="156" customFormat="1" x14ac:dyDescent="0.2">
      <c r="A30" s="159" t="str">
        <f>'1.st. M'!M36</f>
        <v>1.st. U19 - muži Skupina E</v>
      </c>
      <c r="B30" s="160">
        <f>'1.st. M'!N36</f>
        <v>25</v>
      </c>
      <c r="C30" s="160" t="str">
        <f>'1.st. M'!O36</f>
        <v>Hampl Petr</v>
      </c>
      <c r="D30" s="160" t="str">
        <f>'1.st. M'!P36</f>
        <v>KST Blansko</v>
      </c>
      <c r="E30" s="160">
        <f>'1.st. M'!Q36</f>
        <v>0</v>
      </c>
      <c r="F30" s="160" t="str">
        <f>'1.st. M'!R36</f>
        <v>----------</v>
      </c>
      <c r="G30" s="160" t="str">
        <f>'1.st. M'!S36</f>
        <v/>
      </c>
      <c r="H30" s="158"/>
    </row>
    <row r="31" spans="1:8" s="156" customFormat="1" x14ac:dyDescent="0.2">
      <c r="A31" s="159" t="str">
        <f>'1.st. M'!M37</f>
        <v>1.st. U19 - muži Skupina E</v>
      </c>
      <c r="B31" s="160">
        <f>'1.st. M'!N37</f>
        <v>12</v>
      </c>
      <c r="C31" s="160" t="str">
        <f>'1.st. M'!O37</f>
        <v>Horníček Lukáš</v>
      </c>
      <c r="D31" s="160" t="str">
        <f>'1.st. M'!P37</f>
        <v>MS Brno</v>
      </c>
      <c r="E31" s="160">
        <f>'1.st. M'!Q37</f>
        <v>6</v>
      </c>
      <c r="F31" s="160" t="str">
        <f>'1.st. M'!R37</f>
        <v>Pařízek Richard</v>
      </c>
      <c r="G31" s="160" t="str">
        <f>'1.st. M'!S37</f>
        <v>SKST Hodonín</v>
      </c>
      <c r="H31" s="158"/>
    </row>
    <row r="32" spans="1:8" s="156" customFormat="1" x14ac:dyDescent="0.2">
      <c r="A32" s="157" t="str">
        <f>'1.st. M'!M39</f>
        <v>1.st. U19 - muži Skupina F</v>
      </c>
      <c r="B32" s="157">
        <f>'1.st. M'!N39</f>
        <v>7</v>
      </c>
      <c r="C32" s="157" t="str">
        <f>'1.st. M'!O39</f>
        <v>Němeček Radek</v>
      </c>
      <c r="D32" s="157" t="str">
        <f>'1.st. M'!P39</f>
        <v>MSK Břeclav</v>
      </c>
      <c r="E32" s="157">
        <f>'1.st. M'!Q39</f>
        <v>0</v>
      </c>
      <c r="F32" s="157" t="str">
        <f>'1.st. M'!R39</f>
        <v>----------</v>
      </c>
      <c r="G32" s="157" t="str">
        <f>'1.st. M'!S39</f>
        <v/>
      </c>
    </row>
    <row r="33" spans="1:8" s="156" customFormat="1" x14ac:dyDescent="0.2">
      <c r="A33" s="157" t="str">
        <f>'1.st. M'!M40</f>
        <v>1.st. U19 - muži Skupina F</v>
      </c>
      <c r="B33" s="157">
        <f>'1.st. M'!N40</f>
        <v>26</v>
      </c>
      <c r="C33" s="157" t="str">
        <f>'1.st. M'!O40</f>
        <v>Vrtěl Maxim</v>
      </c>
      <c r="D33" s="157" t="str">
        <f>'1.st. M'!P40</f>
        <v>KST Blansko</v>
      </c>
      <c r="E33" s="157">
        <f>'1.st. M'!Q40</f>
        <v>16</v>
      </c>
      <c r="F33" s="157" t="str">
        <f>'1.st. M'!R40</f>
        <v>Šimeček Robin</v>
      </c>
      <c r="G33" s="157" t="str">
        <f>'1.st. M'!S40</f>
        <v>TJ Holásky</v>
      </c>
    </row>
    <row r="34" spans="1:8" s="156" customFormat="1" x14ac:dyDescent="0.2">
      <c r="A34" s="157" t="str">
        <f>'1.st. M'!M41</f>
        <v>1.st. U19 - muži Skupina F</v>
      </c>
      <c r="B34" s="157">
        <f>'1.st. M'!N41</f>
        <v>0</v>
      </c>
      <c r="C34" s="157" t="str">
        <f>'1.st. M'!O41</f>
        <v>----------</v>
      </c>
      <c r="D34" s="157" t="str">
        <f>'1.st. M'!P41</f>
        <v/>
      </c>
      <c r="E34" s="157">
        <f>'1.st. M'!Q41</f>
        <v>16</v>
      </c>
      <c r="F34" s="157" t="str">
        <f>'1.st. M'!R41</f>
        <v>Šimeček Robin</v>
      </c>
      <c r="G34" s="157" t="str">
        <f>'1.st. M'!S41</f>
        <v>TJ Holásky</v>
      </c>
    </row>
    <row r="35" spans="1:8" s="156" customFormat="1" x14ac:dyDescent="0.2">
      <c r="A35" s="157" t="str">
        <f>'1.st. M'!M42</f>
        <v>1.st. U19 - muži Skupina F</v>
      </c>
      <c r="B35" s="157">
        <f>'1.st. M'!N42</f>
        <v>7</v>
      </c>
      <c r="C35" s="157" t="str">
        <f>'1.st. M'!O42</f>
        <v>Němeček Radek</v>
      </c>
      <c r="D35" s="157" t="str">
        <f>'1.st. M'!P42</f>
        <v>MSK Břeclav</v>
      </c>
      <c r="E35" s="157">
        <f>'1.st. M'!Q42</f>
        <v>26</v>
      </c>
      <c r="F35" s="157" t="str">
        <f>'1.st. M'!R42</f>
        <v>Vrtěl Maxim</v>
      </c>
      <c r="G35" s="157" t="str">
        <f>'1.st. M'!S42</f>
        <v>KST Blansko</v>
      </c>
    </row>
    <row r="36" spans="1:8" s="156" customFormat="1" x14ac:dyDescent="0.2">
      <c r="A36" s="157" t="str">
        <f>'1.st. M'!M43</f>
        <v>1.st. U19 - muži Skupina F</v>
      </c>
      <c r="B36" s="157">
        <f>'1.st. M'!N43</f>
        <v>26</v>
      </c>
      <c r="C36" s="157" t="str">
        <f>'1.st. M'!O43</f>
        <v>Vrtěl Maxim</v>
      </c>
      <c r="D36" s="157" t="str">
        <f>'1.st. M'!P43</f>
        <v>KST Blansko</v>
      </c>
      <c r="E36" s="157">
        <f>'1.st. M'!Q43</f>
        <v>0</v>
      </c>
      <c r="F36" s="157" t="str">
        <f>'1.st. M'!R43</f>
        <v>----------</v>
      </c>
      <c r="G36" s="157" t="str">
        <f>'1.st. M'!S43</f>
        <v/>
      </c>
    </row>
    <row r="37" spans="1:8" s="156" customFormat="1" x14ac:dyDescent="0.2">
      <c r="A37" s="157" t="str">
        <f>'1.st. M'!M44</f>
        <v>1.st. U19 - muži Skupina F</v>
      </c>
      <c r="B37" s="157">
        <f>'1.st. M'!N44</f>
        <v>16</v>
      </c>
      <c r="C37" s="157" t="str">
        <f>'1.st. M'!O44</f>
        <v>Šimeček Robin</v>
      </c>
      <c r="D37" s="157" t="str">
        <f>'1.st. M'!P44</f>
        <v>TJ Holásky</v>
      </c>
      <c r="E37" s="157">
        <f>'1.st. M'!Q44</f>
        <v>7</v>
      </c>
      <c r="F37" s="157" t="str">
        <f>'1.st. M'!R44</f>
        <v>Němeček Radek</v>
      </c>
      <c r="G37" s="157" t="str">
        <f>'1.st. M'!S44</f>
        <v>MSK Břeclav</v>
      </c>
    </row>
    <row r="38" spans="1:8" s="156" customFormat="1" x14ac:dyDescent="0.2">
      <c r="A38" s="159" t="str">
        <f>'1.st. M'!M46</f>
        <v>1.st. U19 - muži Skupina G</v>
      </c>
      <c r="B38" s="160">
        <f>'1.st. M'!N46</f>
        <v>8</v>
      </c>
      <c r="C38" s="160" t="str">
        <f>'1.st. M'!O46</f>
        <v>Pokorný Martin</v>
      </c>
      <c r="D38" s="160" t="str">
        <f>'1.st. M'!P46</f>
        <v>KST Blansko</v>
      </c>
      <c r="E38" s="160">
        <f>'1.st. M'!Q46</f>
        <v>0</v>
      </c>
      <c r="F38" s="160" t="str">
        <f>'1.st. M'!R46</f>
        <v>----------</v>
      </c>
      <c r="G38" s="160" t="str">
        <f>'1.st. M'!S46</f>
        <v/>
      </c>
      <c r="H38" s="158"/>
    </row>
    <row r="39" spans="1:8" s="156" customFormat="1" x14ac:dyDescent="0.2">
      <c r="A39" s="159" t="str">
        <f>'1.st. M'!M47</f>
        <v>1.st. U19 - muži Skupina G</v>
      </c>
      <c r="B39" s="160">
        <f>'1.st. M'!N47</f>
        <v>19</v>
      </c>
      <c r="C39" s="160" t="str">
        <f>'1.st. M'!O47</f>
        <v>Chromník Martin</v>
      </c>
      <c r="D39" s="160" t="str">
        <f>'1.st. M'!P47</f>
        <v>STP Mikulov</v>
      </c>
      <c r="E39" s="160">
        <f>'1.st. M'!Q47</f>
        <v>13</v>
      </c>
      <c r="F39" s="160" t="str">
        <f>'1.st. M'!R47</f>
        <v>Havránek Ondřej</v>
      </c>
      <c r="G39" s="160" t="str">
        <f>'1.st. M'!S47</f>
        <v>MS Brno</v>
      </c>
      <c r="H39" s="158"/>
    </row>
    <row r="40" spans="1:8" s="156" customFormat="1" x14ac:dyDescent="0.2">
      <c r="A40" s="159" t="str">
        <f>'1.st. M'!M48</f>
        <v>1.st. U19 - muži Skupina G</v>
      </c>
      <c r="B40" s="160">
        <f>'1.st. M'!N48</f>
        <v>0</v>
      </c>
      <c r="C40" s="160" t="str">
        <f>'1.st. M'!O48</f>
        <v>----------</v>
      </c>
      <c r="D40" s="160" t="str">
        <f>'1.st. M'!P48</f>
        <v/>
      </c>
      <c r="E40" s="160">
        <f>'1.st. M'!Q48</f>
        <v>13</v>
      </c>
      <c r="F40" s="160" t="str">
        <f>'1.st. M'!R48</f>
        <v>Havránek Ondřej</v>
      </c>
      <c r="G40" s="160" t="str">
        <f>'1.st. M'!S48</f>
        <v>MS Brno</v>
      </c>
      <c r="H40" s="158"/>
    </row>
    <row r="41" spans="1:8" s="156" customFormat="1" x14ac:dyDescent="0.2">
      <c r="A41" s="159" t="str">
        <f>'1.st. M'!M49</f>
        <v>1.st. U19 - muži Skupina G</v>
      </c>
      <c r="B41" s="160">
        <f>'1.st. M'!N49</f>
        <v>8</v>
      </c>
      <c r="C41" s="160" t="str">
        <f>'1.st. M'!O49</f>
        <v>Pokorný Martin</v>
      </c>
      <c r="D41" s="160" t="str">
        <f>'1.st. M'!P49</f>
        <v>KST Blansko</v>
      </c>
      <c r="E41" s="160">
        <f>'1.st. M'!Q49</f>
        <v>19</v>
      </c>
      <c r="F41" s="160" t="str">
        <f>'1.st. M'!R49</f>
        <v>Chromník Martin</v>
      </c>
      <c r="G41" s="160" t="str">
        <f>'1.st. M'!S49</f>
        <v>STP Mikulov</v>
      </c>
      <c r="H41" s="158"/>
    </row>
    <row r="42" spans="1:8" s="156" customFormat="1" x14ac:dyDescent="0.2">
      <c r="A42" s="159" t="str">
        <f>'1.st. M'!M50</f>
        <v>1.st. U19 - muži Skupina G</v>
      </c>
      <c r="B42" s="160">
        <f>'1.st. M'!N50</f>
        <v>19</v>
      </c>
      <c r="C42" s="160" t="str">
        <f>'1.st. M'!O50</f>
        <v>Chromník Martin</v>
      </c>
      <c r="D42" s="160" t="str">
        <f>'1.st. M'!P50</f>
        <v>STP Mikulov</v>
      </c>
      <c r="E42" s="160">
        <f>'1.st. M'!Q50</f>
        <v>0</v>
      </c>
      <c r="F42" s="160" t="str">
        <f>'1.st. M'!R50</f>
        <v>----------</v>
      </c>
      <c r="G42" s="160" t="str">
        <f>'1.st. M'!S50</f>
        <v/>
      </c>
      <c r="H42" s="158"/>
    </row>
    <row r="43" spans="1:8" s="156" customFormat="1" x14ac:dyDescent="0.2">
      <c r="A43" s="159" t="str">
        <f>'1.st. M'!M51</f>
        <v>1.st. U19 - muži Skupina G</v>
      </c>
      <c r="B43" s="160">
        <f>'1.st. M'!N51</f>
        <v>13</v>
      </c>
      <c r="C43" s="160" t="str">
        <f>'1.st. M'!O51</f>
        <v>Havránek Ondřej</v>
      </c>
      <c r="D43" s="160" t="str">
        <f>'1.st. M'!P51</f>
        <v>MS Brno</v>
      </c>
      <c r="E43" s="160">
        <f>'1.st. M'!Q51</f>
        <v>8</v>
      </c>
      <c r="F43" s="160" t="str">
        <f>'1.st. M'!R51</f>
        <v>Pokorný Martin</v>
      </c>
      <c r="G43" s="160" t="str">
        <f>'1.st. M'!S51</f>
        <v>KST Blansko</v>
      </c>
      <c r="H43" s="158"/>
    </row>
    <row r="44" spans="1:8" s="156" customFormat="1" x14ac:dyDescent="0.2">
      <c r="A44" s="157" t="str">
        <f>'1.st. M'!M53</f>
        <v>1.st. U19 - muži Skupina H</v>
      </c>
      <c r="B44" s="157">
        <f>'1.st. M'!N53</f>
        <v>0</v>
      </c>
      <c r="C44" s="157" t="str">
        <f>'1.st. M'!O53</f>
        <v>----------</v>
      </c>
      <c r="D44" s="157" t="str">
        <f>'1.st. M'!P53</f>
        <v/>
      </c>
      <c r="E44" s="157">
        <f>'1.st. M'!Q53</f>
        <v>0</v>
      </c>
      <c r="F44" s="157" t="str">
        <f>'1.st. M'!R53</f>
        <v>----------</v>
      </c>
      <c r="G44" s="157" t="str">
        <f>'1.st. M'!S53</f>
        <v/>
      </c>
    </row>
    <row r="45" spans="1:8" s="156" customFormat="1" x14ac:dyDescent="0.2">
      <c r="A45" s="157" t="str">
        <f>'1.st. M'!M54</f>
        <v>1.st. U19 - muži Skupina H</v>
      </c>
      <c r="B45" s="157">
        <f>'1.st. M'!N54</f>
        <v>0</v>
      </c>
      <c r="C45" s="157" t="str">
        <f>'1.st. M'!O54</f>
        <v>----------</v>
      </c>
      <c r="D45" s="157" t="str">
        <f>'1.st. M'!P54</f>
        <v/>
      </c>
      <c r="E45" s="157">
        <f>'1.st. M'!Q54</f>
        <v>0</v>
      </c>
      <c r="F45" s="157" t="str">
        <f>'1.st. M'!R54</f>
        <v>----------</v>
      </c>
      <c r="G45" s="157" t="str">
        <f>'1.st. M'!S54</f>
        <v/>
      </c>
    </row>
    <row r="46" spans="1:8" s="156" customFormat="1" x14ac:dyDescent="0.2">
      <c r="A46" s="157" t="str">
        <f>'1.st. M'!M55</f>
        <v>1.st. U19 - muži Skupina H</v>
      </c>
      <c r="B46" s="157">
        <f>'1.st. M'!N55</f>
        <v>0</v>
      </c>
      <c r="C46" s="157" t="str">
        <f>'1.st. M'!O55</f>
        <v>----------</v>
      </c>
      <c r="D46" s="157" t="str">
        <f>'1.st. M'!P55</f>
        <v/>
      </c>
      <c r="E46" s="157">
        <f>'1.st. M'!Q55</f>
        <v>0</v>
      </c>
      <c r="F46" s="157" t="str">
        <f>'1.st. M'!R55</f>
        <v>----------</v>
      </c>
      <c r="G46" s="157" t="str">
        <f>'1.st. M'!S55</f>
        <v/>
      </c>
    </row>
    <row r="47" spans="1:8" s="156" customFormat="1" x14ac:dyDescent="0.2">
      <c r="A47" s="157" t="str">
        <f>'1.st. M'!M56</f>
        <v>1.st. U19 - muži Skupina H</v>
      </c>
      <c r="B47" s="157">
        <f>'1.st. M'!N56</f>
        <v>0</v>
      </c>
      <c r="C47" s="157" t="str">
        <f>'1.st. M'!O56</f>
        <v>----------</v>
      </c>
      <c r="D47" s="157" t="str">
        <f>'1.st. M'!P56</f>
        <v/>
      </c>
      <c r="E47" s="157">
        <f>'1.st. M'!Q56</f>
        <v>0</v>
      </c>
      <c r="F47" s="157" t="str">
        <f>'1.st. M'!R56</f>
        <v>----------</v>
      </c>
      <c r="G47" s="157" t="str">
        <f>'1.st. M'!S56</f>
        <v/>
      </c>
    </row>
    <row r="48" spans="1:8" s="156" customFormat="1" x14ac:dyDescent="0.2">
      <c r="A48" s="157" t="str">
        <f>'1.st. M'!M57</f>
        <v>1.st. U19 - muži Skupina H</v>
      </c>
      <c r="B48" s="157">
        <f>'1.st. M'!N57</f>
        <v>0</v>
      </c>
      <c r="C48" s="157" t="str">
        <f>'1.st. M'!O57</f>
        <v>----------</v>
      </c>
      <c r="D48" s="157" t="str">
        <f>'1.st. M'!P57</f>
        <v/>
      </c>
      <c r="E48" s="157">
        <f>'1.st. M'!Q57</f>
        <v>0</v>
      </c>
      <c r="F48" s="157" t="str">
        <f>'1.st. M'!R57</f>
        <v>----------</v>
      </c>
      <c r="G48" s="157" t="str">
        <f>'1.st. M'!S57</f>
        <v/>
      </c>
    </row>
    <row r="49" spans="1:7" s="156" customFormat="1" x14ac:dyDescent="0.2">
      <c r="A49" s="157" t="str">
        <f>'1.st. M'!M58</f>
        <v>1.st. U19 - muži Skupina H</v>
      </c>
      <c r="B49" s="157">
        <f>'1.st. M'!N58</f>
        <v>0</v>
      </c>
      <c r="C49" s="157" t="str">
        <f>'1.st. M'!O58</f>
        <v>----------</v>
      </c>
      <c r="D49" s="157" t="str">
        <f>'1.st. M'!P58</f>
        <v/>
      </c>
      <c r="E49" s="157">
        <f>'1.st. M'!Q58</f>
        <v>0</v>
      </c>
      <c r="F49" s="157" t="str">
        <f>'1.st. M'!R58</f>
        <v>----------</v>
      </c>
      <c r="G49" s="157" t="str">
        <f>'1.st. M'!S58</f>
        <v/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5"/>
  <sheetViews>
    <sheetView workbookViewId="0">
      <selection activeCell="D19" sqref="D19"/>
    </sheetView>
  </sheetViews>
  <sheetFormatPr defaultRowHeight="12.75" x14ac:dyDescent="0.2"/>
  <cols>
    <col min="1" max="1" width="23.7109375" style="124" bestFit="1" customWidth="1"/>
    <col min="2" max="2" width="4.85546875" style="124" bestFit="1" customWidth="1"/>
    <col min="3" max="3" width="17.7109375" style="124" customWidth="1"/>
    <col min="4" max="4" width="21.140625" style="124" bestFit="1" customWidth="1"/>
    <col min="5" max="5" width="4" style="124" bestFit="1" customWidth="1"/>
    <col min="6" max="6" width="16.28515625" style="124" customWidth="1"/>
    <col min="7" max="7" width="20.28515625" style="124" customWidth="1"/>
    <col min="8" max="8" width="12.5703125" bestFit="1" customWidth="1"/>
    <col min="10" max="10" width="4" bestFit="1" customWidth="1"/>
    <col min="11" max="11" width="4.5703125" bestFit="1" customWidth="1"/>
  </cols>
  <sheetData>
    <row r="1" spans="1:10" x14ac:dyDescent="0.2">
      <c r="A1" s="123" t="s">
        <v>25</v>
      </c>
      <c r="B1" s="123" t="s">
        <v>0</v>
      </c>
      <c r="C1" s="123" t="s">
        <v>1</v>
      </c>
      <c r="D1" s="123" t="s">
        <v>2</v>
      </c>
      <c r="E1" s="123" t="s">
        <v>0</v>
      </c>
      <c r="F1" s="123" t="s">
        <v>3</v>
      </c>
      <c r="G1" s="123" t="s">
        <v>2</v>
      </c>
      <c r="H1" s="76"/>
      <c r="I1" s="76"/>
      <c r="J1" s="76"/>
    </row>
    <row r="2" spans="1:10" s="156" customFormat="1" x14ac:dyDescent="0.2">
      <c r="A2" s="159" t="str">
        <f>'1.st. Ž'!M4</f>
        <v>1.st. U19 - ženy Skupina A</v>
      </c>
      <c r="B2" s="160">
        <f>'1.st. Ž'!N4</f>
        <v>41</v>
      </c>
      <c r="C2" s="160" t="str">
        <f>'1.st. Ž'!O4</f>
        <v>Sobotíková Monika</v>
      </c>
      <c r="D2" s="160" t="str">
        <f>'1.st. Ž'!P4</f>
        <v>MS Brno</v>
      </c>
      <c r="E2" s="160">
        <f>'1.st. Ž'!Q4</f>
        <v>0</v>
      </c>
      <c r="F2" s="160" t="str">
        <f>'1.st. Ž'!R4</f>
        <v>----------</v>
      </c>
      <c r="G2" s="160" t="str">
        <f>'1.st. Ž'!S4</f>
        <v/>
      </c>
      <c r="H2" s="158"/>
    </row>
    <row r="3" spans="1:10" s="156" customFormat="1" x14ac:dyDescent="0.2">
      <c r="A3" s="159" t="str">
        <f>'1.st. Ž'!M5</f>
        <v>1.st. U19 - ženy Skupina A</v>
      </c>
      <c r="B3" s="160">
        <f>'1.st. Ž'!N5</f>
        <v>47</v>
      </c>
      <c r="C3" s="160" t="str">
        <f>'1.st. Ž'!O5</f>
        <v>Mazalová Kristýna</v>
      </c>
      <c r="D3" s="160" t="str">
        <f>'1.st. Ž'!P5</f>
        <v>KST Blansko</v>
      </c>
      <c r="E3" s="160">
        <f>'1.st. Ž'!Q5</f>
        <v>46</v>
      </c>
      <c r="F3" s="160" t="str">
        <f>'1.st. Ž'!R5</f>
        <v>Masopustová Lucie</v>
      </c>
      <c r="G3" s="160" t="str">
        <f>'1.st. Ž'!S5</f>
        <v>MSK Břeclav</v>
      </c>
      <c r="H3" s="158"/>
    </row>
    <row r="4" spans="1:10" s="156" customFormat="1" x14ac:dyDescent="0.2">
      <c r="A4" s="159" t="str">
        <f>'1.st. Ž'!M6</f>
        <v>1.st. U19 - ženy Skupina A</v>
      </c>
      <c r="B4" s="160">
        <f>'1.st. Ž'!N6</f>
        <v>0</v>
      </c>
      <c r="C4" s="160" t="str">
        <f>'1.st. Ž'!O6</f>
        <v>----------</v>
      </c>
      <c r="D4" s="160" t="str">
        <f>'1.st. Ž'!P6</f>
        <v/>
      </c>
      <c r="E4" s="160">
        <f>'1.st. Ž'!Q6</f>
        <v>46</v>
      </c>
      <c r="F4" s="160" t="str">
        <f>'1.st. Ž'!R6</f>
        <v>Masopustová Lucie</v>
      </c>
      <c r="G4" s="160" t="str">
        <f>'1.st. Ž'!S6</f>
        <v>MSK Břeclav</v>
      </c>
      <c r="H4" s="158"/>
    </row>
    <row r="5" spans="1:10" s="156" customFormat="1" x14ac:dyDescent="0.2">
      <c r="A5" s="159" t="str">
        <f>'1.st. Ž'!M7</f>
        <v>1.st. U19 - ženy Skupina A</v>
      </c>
      <c r="B5" s="160">
        <f>'1.st. Ž'!N7</f>
        <v>41</v>
      </c>
      <c r="C5" s="160" t="str">
        <f>'1.st. Ž'!O7</f>
        <v>Sobotíková Monika</v>
      </c>
      <c r="D5" s="160" t="str">
        <f>'1.st. Ž'!P7</f>
        <v>MS Brno</v>
      </c>
      <c r="E5" s="160">
        <f>'1.st. Ž'!Q7</f>
        <v>47</v>
      </c>
      <c r="F5" s="160" t="str">
        <f>'1.st. Ž'!R7</f>
        <v>Mazalová Kristýna</v>
      </c>
      <c r="G5" s="160" t="str">
        <f>'1.st. Ž'!S7</f>
        <v>KST Blansko</v>
      </c>
      <c r="H5" s="158"/>
    </row>
    <row r="6" spans="1:10" s="156" customFormat="1" x14ac:dyDescent="0.2">
      <c r="A6" s="159" t="str">
        <f>'1.st. Ž'!M8</f>
        <v>1.st. U19 - ženy Skupina A</v>
      </c>
      <c r="B6" s="160">
        <f>'1.st. Ž'!N8</f>
        <v>47</v>
      </c>
      <c r="C6" s="160" t="str">
        <f>'1.st. Ž'!O8</f>
        <v>Mazalová Kristýna</v>
      </c>
      <c r="D6" s="160" t="str">
        <f>'1.st. Ž'!P8</f>
        <v>KST Blansko</v>
      </c>
      <c r="E6" s="160">
        <f>'1.st. Ž'!Q8</f>
        <v>0</v>
      </c>
      <c r="F6" s="160" t="str">
        <f>'1.st. Ž'!R8</f>
        <v>----------</v>
      </c>
      <c r="G6" s="160" t="str">
        <f>'1.st. Ž'!S8</f>
        <v/>
      </c>
      <c r="H6" s="158"/>
    </row>
    <row r="7" spans="1:10" s="156" customFormat="1" x14ac:dyDescent="0.2">
      <c r="A7" s="159" t="str">
        <f>'1.st. Ž'!M9</f>
        <v>1.st. U19 - ženy Skupina A</v>
      </c>
      <c r="B7" s="160">
        <f>'1.st. Ž'!N9</f>
        <v>46</v>
      </c>
      <c r="C7" s="160" t="str">
        <f>'1.st. Ž'!O9</f>
        <v>Masopustová Lucie</v>
      </c>
      <c r="D7" s="160" t="str">
        <f>'1.st. Ž'!P9</f>
        <v>MSK Břeclav</v>
      </c>
      <c r="E7" s="160">
        <f>'1.st. Ž'!Q9</f>
        <v>41</v>
      </c>
      <c r="F7" s="160" t="str">
        <f>'1.st. Ž'!R9</f>
        <v>Sobotíková Monika</v>
      </c>
      <c r="G7" s="160" t="str">
        <f>'1.st. Ž'!S9</f>
        <v>MS Brno</v>
      </c>
      <c r="H7" s="158"/>
    </row>
    <row r="8" spans="1:10" s="156" customFormat="1" x14ac:dyDescent="0.2">
      <c r="A8" s="156" t="str">
        <f>'1.st. Ž'!M11</f>
        <v>1.st. U19 - ženy Skupina B</v>
      </c>
      <c r="B8" s="157">
        <f>'1.st. Ž'!N11</f>
        <v>42</v>
      </c>
      <c r="C8" s="157" t="str">
        <f>'1.st. Ž'!O11</f>
        <v>Novohradská Karolína</v>
      </c>
      <c r="D8" s="157" t="str">
        <f>'1.st. Ž'!P11</f>
        <v>KST Blansko</v>
      </c>
      <c r="E8" s="157">
        <f>'1.st. Ž'!Q11</f>
        <v>52</v>
      </c>
      <c r="F8" s="157" t="str">
        <f>'1.st. Ž'!R11</f>
        <v>Habáňová Michaela</v>
      </c>
      <c r="G8" s="157" t="str">
        <f>'1.st. Ž'!S11</f>
        <v>KST Blansko</v>
      </c>
      <c r="H8" s="158"/>
    </row>
    <row r="9" spans="1:10" s="156" customFormat="1" x14ac:dyDescent="0.2">
      <c r="A9" s="156" t="str">
        <f>'1.st. Ž'!M12</f>
        <v>1.st. U19 - ženy Skupina B</v>
      </c>
      <c r="B9" s="157">
        <f>'1.st. Ž'!N12</f>
        <v>48</v>
      </c>
      <c r="C9" s="157" t="str">
        <f>'1.st. Ž'!O12</f>
        <v>Kotásková Kristýna</v>
      </c>
      <c r="D9" s="157" t="str">
        <f>'1.st. Ž'!P12</f>
        <v>TJ Mikulčice</v>
      </c>
      <c r="E9" s="157">
        <f>'1.st. Ž'!Q12</f>
        <v>44</v>
      </c>
      <c r="F9" s="157" t="str">
        <f>'1.st. Ž'!R12</f>
        <v>Novotná Eliška</v>
      </c>
      <c r="G9" s="157" t="str">
        <f>'1.st. Ž'!S12</f>
        <v>SKST Hodonín</v>
      </c>
      <c r="H9" s="158"/>
    </row>
    <row r="10" spans="1:10" s="156" customFormat="1" x14ac:dyDescent="0.2">
      <c r="A10" s="156" t="str">
        <f>'1.st. Ž'!M13</f>
        <v>1.st. U19 - ženy Skupina B</v>
      </c>
      <c r="B10" s="157">
        <f>'1.st. Ž'!N13</f>
        <v>52</v>
      </c>
      <c r="C10" s="157" t="str">
        <f>'1.st. Ž'!O13</f>
        <v>Habáňová Michaela</v>
      </c>
      <c r="D10" s="157" t="str">
        <f>'1.st. Ž'!P13</f>
        <v>KST Blansko</v>
      </c>
      <c r="E10" s="157">
        <f>'1.st. Ž'!Q13</f>
        <v>44</v>
      </c>
      <c r="F10" s="157" t="str">
        <f>'1.st. Ž'!R13</f>
        <v>Novotná Eliška</v>
      </c>
      <c r="G10" s="157" t="str">
        <f>'1.st. Ž'!S13</f>
        <v>SKST Hodonín</v>
      </c>
      <c r="H10" s="158"/>
    </row>
    <row r="11" spans="1:10" s="156" customFormat="1" x14ac:dyDescent="0.2">
      <c r="A11" s="156" t="str">
        <f>'1.st. Ž'!M14</f>
        <v>1.st. U19 - ženy Skupina B</v>
      </c>
      <c r="B11" s="157">
        <f>'1.st. Ž'!N14</f>
        <v>42</v>
      </c>
      <c r="C11" s="157" t="str">
        <f>'1.st. Ž'!O14</f>
        <v>Novohradská Karolína</v>
      </c>
      <c r="D11" s="157" t="str">
        <f>'1.st. Ž'!P14</f>
        <v>KST Blansko</v>
      </c>
      <c r="E11" s="157">
        <f>'1.st. Ž'!Q14</f>
        <v>48</v>
      </c>
      <c r="F11" s="157" t="str">
        <f>'1.st. Ž'!R14</f>
        <v>Kotásková Kristýna</v>
      </c>
      <c r="G11" s="157" t="str">
        <f>'1.st. Ž'!S14</f>
        <v>TJ Mikulčice</v>
      </c>
      <c r="H11" s="158"/>
    </row>
    <row r="12" spans="1:10" s="156" customFormat="1" x14ac:dyDescent="0.2">
      <c r="A12" s="156" t="str">
        <f>'1.st. Ž'!M15</f>
        <v>1.st. U19 - ženy Skupina B</v>
      </c>
      <c r="B12" s="157">
        <f>'1.st. Ž'!N15</f>
        <v>48</v>
      </c>
      <c r="C12" s="157" t="str">
        <f>'1.st. Ž'!O15</f>
        <v>Kotásková Kristýna</v>
      </c>
      <c r="D12" s="157" t="str">
        <f>'1.st. Ž'!P15</f>
        <v>TJ Mikulčice</v>
      </c>
      <c r="E12" s="157">
        <f>'1.st. Ž'!Q15</f>
        <v>52</v>
      </c>
      <c r="F12" s="157" t="str">
        <f>'1.st. Ž'!R15</f>
        <v>Habáňová Michaela</v>
      </c>
      <c r="G12" s="157" t="str">
        <f>'1.st. Ž'!S15</f>
        <v>KST Blansko</v>
      </c>
      <c r="H12" s="158"/>
    </row>
    <row r="13" spans="1:10" s="156" customFormat="1" x14ac:dyDescent="0.2">
      <c r="A13" s="156" t="str">
        <f>'1.st. Ž'!M16</f>
        <v>1.st. U19 - ženy Skupina B</v>
      </c>
      <c r="B13" s="157">
        <f>'1.st. Ž'!N16</f>
        <v>44</v>
      </c>
      <c r="C13" s="157" t="str">
        <f>'1.st. Ž'!O16</f>
        <v>Novotná Eliška</v>
      </c>
      <c r="D13" s="157" t="str">
        <f>'1.st. Ž'!P16</f>
        <v>SKST Hodonín</v>
      </c>
      <c r="E13" s="157">
        <f>'1.st. Ž'!Q16</f>
        <v>42</v>
      </c>
      <c r="F13" s="157" t="str">
        <f>'1.st. Ž'!R16</f>
        <v>Novohradská Karolína</v>
      </c>
      <c r="G13" s="157" t="str">
        <f>'1.st. Ž'!S16</f>
        <v>KST Blansko</v>
      </c>
      <c r="H13" s="158"/>
    </row>
    <row r="14" spans="1:10" s="156" customFormat="1" x14ac:dyDescent="0.2">
      <c r="A14" s="159" t="str">
        <f>'1.st. Ž'!M18</f>
        <v>1.st. U19 - ženy Skupina C</v>
      </c>
      <c r="B14" s="160">
        <f>'1.st. Ž'!N18</f>
        <v>43</v>
      </c>
      <c r="C14" s="160" t="str">
        <f>'1.st. Ž'!O18</f>
        <v>Holubová Simona</v>
      </c>
      <c r="D14" s="160" t="str">
        <f>'1.st. Ž'!P18</f>
        <v>SKST Hodonín</v>
      </c>
      <c r="E14" s="160">
        <f>'1.st. Ž'!Q18</f>
        <v>51</v>
      </c>
      <c r="F14" s="160" t="str">
        <f>'1.st. Ž'!R18</f>
        <v>Bedřichová Ema</v>
      </c>
      <c r="G14" s="160" t="str">
        <f>'1.st. Ž'!S18</f>
        <v>Klobouky u Brna</v>
      </c>
      <c r="H14" s="158"/>
    </row>
    <row r="15" spans="1:10" s="156" customFormat="1" x14ac:dyDescent="0.2">
      <c r="A15" s="159" t="str">
        <f>'1.st. Ž'!M19</f>
        <v>1.st. U19 - ženy Skupina C</v>
      </c>
      <c r="B15" s="160">
        <f>'1.st. Ž'!N19</f>
        <v>49</v>
      </c>
      <c r="C15" s="160" t="str">
        <f>'1.st. Ž'!O19</f>
        <v>Pilitowská Lea</v>
      </c>
      <c r="D15" s="160" t="str">
        <f>'1.st. Ž'!P19</f>
        <v>KST Blansko</v>
      </c>
      <c r="E15" s="160">
        <f>'1.st. Ž'!Q19</f>
        <v>45</v>
      </c>
      <c r="F15" s="160" t="str">
        <f>'1.st. Ž'!R19</f>
        <v>Dreits Anastasiia</v>
      </c>
      <c r="G15" s="160" t="str">
        <f>'1.st. Ž'!S19</f>
        <v>Tišnov</v>
      </c>
      <c r="H15" s="158"/>
    </row>
    <row r="16" spans="1:10" s="156" customFormat="1" x14ac:dyDescent="0.2">
      <c r="A16" s="159" t="str">
        <f>'1.st. Ž'!M20</f>
        <v>1.st. U19 - ženy Skupina C</v>
      </c>
      <c r="B16" s="160">
        <f>'1.st. Ž'!N20</f>
        <v>51</v>
      </c>
      <c r="C16" s="160" t="str">
        <f>'1.st. Ž'!O20</f>
        <v>Bedřichová Ema</v>
      </c>
      <c r="D16" s="160" t="str">
        <f>'1.st. Ž'!P20</f>
        <v>Klobouky u Brna</v>
      </c>
      <c r="E16" s="160">
        <f>'1.st. Ž'!Q20</f>
        <v>45</v>
      </c>
      <c r="F16" s="160" t="str">
        <f>'1.st. Ž'!R20</f>
        <v>Dreits Anastasiia</v>
      </c>
      <c r="G16" s="160" t="str">
        <f>'1.st. Ž'!S20</f>
        <v>Tišnov</v>
      </c>
      <c r="H16" s="158"/>
    </row>
    <row r="17" spans="1:8" s="156" customFormat="1" x14ac:dyDescent="0.2">
      <c r="A17" s="159" t="str">
        <f>'1.st. Ž'!M21</f>
        <v>1.st. U19 - ženy Skupina C</v>
      </c>
      <c r="B17" s="160">
        <f>'1.st. Ž'!N21</f>
        <v>43</v>
      </c>
      <c r="C17" s="160" t="str">
        <f>'1.st. Ž'!O21</f>
        <v>Holubová Simona</v>
      </c>
      <c r="D17" s="160" t="str">
        <f>'1.st. Ž'!P21</f>
        <v>SKST Hodonín</v>
      </c>
      <c r="E17" s="160">
        <f>'1.st. Ž'!Q21</f>
        <v>49</v>
      </c>
      <c r="F17" s="160" t="str">
        <f>'1.st. Ž'!R21</f>
        <v>Pilitowská Lea</v>
      </c>
      <c r="G17" s="160" t="str">
        <f>'1.st. Ž'!S21</f>
        <v>KST Blansko</v>
      </c>
      <c r="H17" s="158"/>
    </row>
    <row r="18" spans="1:8" s="156" customFormat="1" x14ac:dyDescent="0.2">
      <c r="A18" s="159" t="str">
        <f>'1.st. Ž'!M22</f>
        <v>1.st. U19 - ženy Skupina C</v>
      </c>
      <c r="B18" s="160">
        <f>'1.st. Ž'!N22</f>
        <v>49</v>
      </c>
      <c r="C18" s="160" t="str">
        <f>'1.st. Ž'!O22</f>
        <v>Pilitowská Lea</v>
      </c>
      <c r="D18" s="160" t="str">
        <f>'1.st. Ž'!P22</f>
        <v>KST Blansko</v>
      </c>
      <c r="E18" s="160">
        <f>'1.st. Ž'!Q22</f>
        <v>51</v>
      </c>
      <c r="F18" s="160" t="str">
        <f>'1.st. Ž'!R22</f>
        <v>Bedřichová Ema</v>
      </c>
      <c r="G18" s="160" t="str">
        <f>'1.st. Ž'!S22</f>
        <v>Klobouky u Brna</v>
      </c>
      <c r="H18" s="158"/>
    </row>
    <row r="19" spans="1:8" s="156" customFormat="1" x14ac:dyDescent="0.2">
      <c r="A19" s="159" t="str">
        <f>'1.st. Ž'!M23</f>
        <v>1.st. U19 - ženy Skupina C</v>
      </c>
      <c r="B19" s="160">
        <f>'1.st. Ž'!N23</f>
        <v>45</v>
      </c>
      <c r="C19" s="160" t="str">
        <f>'1.st. Ž'!O23</f>
        <v>Dreits Anastasiia</v>
      </c>
      <c r="D19" s="160" t="str">
        <f>'1.st. Ž'!P23</f>
        <v>Tišnov</v>
      </c>
      <c r="E19" s="160">
        <f>'1.st. Ž'!Q23</f>
        <v>43</v>
      </c>
      <c r="F19" s="160" t="str">
        <f>'1.st. Ž'!R23</f>
        <v>Holubová Simona</v>
      </c>
      <c r="G19" s="160" t="str">
        <f>'1.st. Ž'!S23</f>
        <v>SKST Hodonín</v>
      </c>
      <c r="H19" s="158"/>
    </row>
    <row r="20" spans="1:8" s="156" customFormat="1" x14ac:dyDescent="0.2">
      <c r="A20" s="157" t="str">
        <f>'1.st. Ž'!M25</f>
        <v>1.st. U19 - ženy Skupina D</v>
      </c>
      <c r="B20" s="157">
        <f>'1.st. Ž'!N25</f>
        <v>0</v>
      </c>
      <c r="C20" s="157" t="str">
        <f>'1.st. Ž'!O25</f>
        <v>----------</v>
      </c>
      <c r="D20" s="157" t="str">
        <f>'1.st. Ž'!P25</f>
        <v/>
      </c>
      <c r="E20" s="157">
        <f>'1.st. Ž'!Q25</f>
        <v>0</v>
      </c>
      <c r="F20" s="157" t="str">
        <f>'1.st. Ž'!R25</f>
        <v>----------</v>
      </c>
      <c r="G20" s="157" t="str">
        <f>'1.st. Ž'!S25</f>
        <v/>
      </c>
    </row>
    <row r="21" spans="1:8" s="156" customFormat="1" x14ac:dyDescent="0.2">
      <c r="A21" s="157" t="str">
        <f>'1.st. Ž'!M26</f>
        <v>1.st. U19 - ženy Skupina D</v>
      </c>
      <c r="B21" s="157">
        <f>'1.st. Ž'!N26</f>
        <v>0</v>
      </c>
      <c r="C21" s="157" t="str">
        <f>'1.st. Ž'!O26</f>
        <v>----------</v>
      </c>
      <c r="D21" s="157" t="str">
        <f>'1.st. Ž'!P26</f>
        <v/>
      </c>
      <c r="E21" s="157">
        <f>'1.st. Ž'!Q26</f>
        <v>0</v>
      </c>
      <c r="F21" s="157" t="str">
        <f>'1.st. Ž'!R26</f>
        <v>----------</v>
      </c>
      <c r="G21" s="157" t="str">
        <f>'1.st. Ž'!S26</f>
        <v/>
      </c>
    </row>
    <row r="22" spans="1:8" s="156" customFormat="1" x14ac:dyDescent="0.2">
      <c r="A22" s="157" t="str">
        <f>'1.st. Ž'!M27</f>
        <v>1.st. U19 - ženy Skupina D</v>
      </c>
      <c r="B22" s="157">
        <f>'1.st. Ž'!N27</f>
        <v>0</v>
      </c>
      <c r="C22" s="157" t="str">
        <f>'1.st. Ž'!O27</f>
        <v>----------</v>
      </c>
      <c r="D22" s="157" t="str">
        <f>'1.st. Ž'!P27</f>
        <v/>
      </c>
      <c r="E22" s="157">
        <f>'1.st. Ž'!Q27</f>
        <v>0</v>
      </c>
      <c r="F22" s="157" t="str">
        <f>'1.st. Ž'!R27</f>
        <v>----------</v>
      </c>
      <c r="G22" s="157" t="str">
        <f>'1.st. Ž'!S27</f>
        <v/>
      </c>
    </row>
    <row r="23" spans="1:8" s="156" customFormat="1" x14ac:dyDescent="0.2">
      <c r="A23" s="157" t="str">
        <f>'1.st. Ž'!M28</f>
        <v>1.st. U19 - ženy Skupina D</v>
      </c>
      <c r="B23" s="157">
        <f>'1.st. Ž'!N28</f>
        <v>0</v>
      </c>
      <c r="C23" s="157" t="str">
        <f>'1.st. Ž'!O28</f>
        <v>----------</v>
      </c>
      <c r="D23" s="157" t="str">
        <f>'1.st. Ž'!P28</f>
        <v/>
      </c>
      <c r="E23" s="157">
        <f>'1.st. Ž'!Q28</f>
        <v>0</v>
      </c>
      <c r="F23" s="157" t="str">
        <f>'1.st. Ž'!R28</f>
        <v>----------</v>
      </c>
      <c r="G23" s="157" t="str">
        <f>'1.st. Ž'!S28</f>
        <v/>
      </c>
    </row>
    <row r="24" spans="1:8" s="156" customFormat="1" x14ac:dyDescent="0.2">
      <c r="A24" s="157" t="str">
        <f>'1.st. Ž'!M29</f>
        <v>1.st. U19 - ženy Skupina D</v>
      </c>
      <c r="B24" s="157">
        <f>'1.st. Ž'!N29</f>
        <v>0</v>
      </c>
      <c r="C24" s="157" t="str">
        <f>'1.st. Ž'!O29</f>
        <v>----------</v>
      </c>
      <c r="D24" s="157" t="str">
        <f>'1.st. Ž'!P29</f>
        <v/>
      </c>
      <c r="E24" s="157">
        <f>'1.st. Ž'!Q29</f>
        <v>0</v>
      </c>
      <c r="F24" s="157" t="str">
        <f>'1.st. Ž'!R29</f>
        <v>----------</v>
      </c>
      <c r="G24" s="157" t="str">
        <f>'1.st. Ž'!S29</f>
        <v/>
      </c>
    </row>
    <row r="25" spans="1:8" s="156" customFormat="1" x14ac:dyDescent="0.2">
      <c r="A25" s="157" t="str">
        <f>'1.st. Ž'!M30</f>
        <v>1.st. U19 - ženy Skupina D</v>
      </c>
      <c r="B25" s="157">
        <f>'1.st. Ž'!N30</f>
        <v>0</v>
      </c>
      <c r="C25" s="157" t="str">
        <f>'1.st. Ž'!O30</f>
        <v>----------</v>
      </c>
      <c r="D25" s="157" t="str">
        <f>'1.st. Ž'!P30</f>
        <v/>
      </c>
      <c r="E25" s="157">
        <f>'1.st. Ž'!Q30</f>
        <v>0</v>
      </c>
      <c r="F25" s="157" t="str">
        <f>'1.st. Ž'!R30</f>
        <v>----------</v>
      </c>
      <c r="G25" s="157" t="str">
        <f>'1.st. Ž'!S30</f>
        <v/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16"/>
  <sheetViews>
    <sheetView view="pageBreakPreview" zoomScale="70" zoomScaleNormal="75" zoomScaleSheetLayoutView="70" workbookViewId="0">
      <selection activeCell="P18" sqref="P18"/>
    </sheetView>
  </sheetViews>
  <sheetFormatPr defaultRowHeight="12.75" x14ac:dyDescent="0.2"/>
  <cols>
    <col min="1" max="6" width="13.7109375" style="90" customWidth="1"/>
    <col min="7" max="7" width="3.7109375" style="90" customWidth="1"/>
    <col min="8" max="13" width="13.7109375" style="90" customWidth="1"/>
    <col min="14" max="14" width="2.7109375" style="90" customWidth="1"/>
    <col min="15" max="16384" width="9.140625" style="90"/>
  </cols>
  <sheetData>
    <row r="1" spans="1:13" ht="36" customHeight="1" thickTop="1" x14ac:dyDescent="0.2">
      <c r="A1" s="172" t="str">
        <f>úvod!$C$6</f>
        <v>Krajské přebory</v>
      </c>
      <c r="B1" s="173"/>
      <c r="C1" s="173"/>
      <c r="D1" s="173"/>
      <c r="E1" s="173"/>
      <c r="F1" s="174"/>
      <c r="H1" s="172" t="str">
        <f>úvod!$C$6</f>
        <v>Krajské přebory</v>
      </c>
      <c r="I1" s="173"/>
      <c r="J1" s="173"/>
      <c r="K1" s="173"/>
      <c r="L1" s="173"/>
      <c r="M1" s="174"/>
    </row>
    <row r="2" spans="1:13" ht="36" customHeight="1" x14ac:dyDescent="0.2">
      <c r="A2" s="175" t="str">
        <f>'Z-singl'!A2</f>
        <v>1.st. U19 - muži Skupina A</v>
      </c>
      <c r="B2" s="176"/>
      <c r="C2" s="176"/>
      <c r="D2" s="176" t="s">
        <v>34</v>
      </c>
      <c r="E2" s="176"/>
      <c r="F2" s="91" t="s">
        <v>41</v>
      </c>
      <c r="H2" s="175" t="str">
        <f>'Z-singl'!A3</f>
        <v>1.st. U19 - muži Skupina A</v>
      </c>
      <c r="I2" s="176"/>
      <c r="J2" s="176"/>
      <c r="K2" s="176" t="s">
        <v>34</v>
      </c>
      <c r="L2" s="176"/>
      <c r="M2" s="91" t="s">
        <v>42</v>
      </c>
    </row>
    <row r="3" spans="1:13" ht="36" customHeight="1" x14ac:dyDescent="0.25">
      <c r="A3" s="177" t="str">
        <f>CONCATENATE('Z-singl'!B2," ",'Z-singl'!C2," (",'Z-singl'!D2,")")</f>
        <v>2 Nespěšný Hynek (MS Brno)</v>
      </c>
      <c r="B3" s="178"/>
      <c r="C3" s="179"/>
      <c r="D3" s="176" t="str">
        <f>CONCATENATE('Z-singl'!E2," ",'Z-singl'!F2," (",'Z-singl'!G2,")")</f>
        <v>0 ---------- ()</v>
      </c>
      <c r="E3" s="176"/>
      <c r="F3" s="180"/>
      <c r="G3" s="92"/>
      <c r="H3" s="177" t="str">
        <f>CONCATENATE('Z-singl'!B3," ",'Z-singl'!C3," (",'Z-singl'!D3,")")</f>
        <v>22 Lysoněk Filip (Velké Opatovice)</v>
      </c>
      <c r="I3" s="178"/>
      <c r="J3" s="179"/>
      <c r="K3" s="176" t="str">
        <f>CONCATENATE('Z-singl'!E3," ",'Z-singl'!F3," (",'Z-singl'!G3,")")</f>
        <v>21 Lokaj David (Letonice)</v>
      </c>
      <c r="L3" s="176"/>
      <c r="M3" s="180"/>
    </row>
    <row r="4" spans="1:13" ht="21.75" customHeight="1" x14ac:dyDescent="0.2">
      <c r="A4" s="166"/>
      <c r="B4" s="167"/>
      <c r="C4" s="167"/>
      <c r="D4" s="167"/>
      <c r="E4" s="167"/>
      <c r="F4" s="168"/>
      <c r="G4" s="93"/>
      <c r="H4" s="166"/>
      <c r="I4" s="167"/>
      <c r="J4" s="167"/>
      <c r="K4" s="167"/>
      <c r="L4" s="167"/>
      <c r="M4" s="168"/>
    </row>
    <row r="5" spans="1:13" x14ac:dyDescent="0.2">
      <c r="A5" s="94" t="s">
        <v>26</v>
      </c>
      <c r="B5" s="95" t="s">
        <v>27</v>
      </c>
      <c r="C5" s="95" t="s">
        <v>28</v>
      </c>
      <c r="D5" s="95" t="s">
        <v>29</v>
      </c>
      <c r="E5" s="95" t="s">
        <v>30</v>
      </c>
      <c r="F5" s="96" t="s">
        <v>31</v>
      </c>
      <c r="H5" s="94" t="s">
        <v>26</v>
      </c>
      <c r="I5" s="95" t="s">
        <v>27</v>
      </c>
      <c r="J5" s="95" t="s">
        <v>28</v>
      </c>
      <c r="K5" s="95" t="s">
        <v>29</v>
      </c>
      <c r="L5" s="95" t="s">
        <v>30</v>
      </c>
      <c r="M5" s="96" t="s">
        <v>31</v>
      </c>
    </row>
    <row r="6" spans="1:13" ht="36" customHeight="1" x14ac:dyDescent="0.2">
      <c r="A6" s="97"/>
      <c r="B6" s="98"/>
      <c r="C6" s="98"/>
      <c r="D6" s="98"/>
      <c r="E6" s="98"/>
      <c r="F6" s="99"/>
      <c r="H6" s="97"/>
      <c r="I6" s="98"/>
      <c r="J6" s="98"/>
      <c r="K6" s="98"/>
      <c r="L6" s="98"/>
      <c r="M6" s="99"/>
    </row>
    <row r="7" spans="1:13" ht="36" customHeight="1" thickBot="1" x14ac:dyDescent="0.25">
      <c r="A7" s="169" t="s">
        <v>32</v>
      </c>
      <c r="B7" s="170"/>
      <c r="C7" s="170"/>
      <c r="D7" s="170" t="s">
        <v>33</v>
      </c>
      <c r="E7" s="170"/>
      <c r="F7" s="171"/>
      <c r="H7" s="169" t="s">
        <v>32</v>
      </c>
      <c r="I7" s="170"/>
      <c r="J7" s="170"/>
      <c r="K7" s="170" t="s">
        <v>33</v>
      </c>
      <c r="L7" s="170"/>
      <c r="M7" s="171"/>
    </row>
    <row r="8" spans="1:13" ht="18" customHeight="1" thickTop="1" thickBot="1" x14ac:dyDescent="0.25"/>
    <row r="9" spans="1:13" ht="37.5" customHeight="1" thickTop="1" x14ac:dyDescent="0.2">
      <c r="A9" s="172" t="str">
        <f>úvod!$C$6</f>
        <v>Krajské přebory</v>
      </c>
      <c r="B9" s="173"/>
      <c r="C9" s="173"/>
      <c r="D9" s="173"/>
      <c r="E9" s="173"/>
      <c r="F9" s="174"/>
      <c r="H9" s="172" t="str">
        <f>úvod!$C$6</f>
        <v>Krajské přebory</v>
      </c>
      <c r="I9" s="173"/>
      <c r="J9" s="173"/>
      <c r="K9" s="173"/>
      <c r="L9" s="173"/>
      <c r="M9" s="174"/>
    </row>
    <row r="10" spans="1:13" ht="37.5" customHeight="1" x14ac:dyDescent="0.2">
      <c r="A10" s="175" t="str">
        <f>'Z-singl'!A4</f>
        <v>1.st. U19 - muži Skupina A</v>
      </c>
      <c r="B10" s="176"/>
      <c r="C10" s="176"/>
      <c r="D10" s="176" t="s">
        <v>34</v>
      </c>
      <c r="E10" s="176"/>
      <c r="F10" s="91" t="s">
        <v>43</v>
      </c>
      <c r="H10" s="175" t="str">
        <f>'Z-singl'!A5</f>
        <v>1.st. U19 - muži Skupina A</v>
      </c>
      <c r="I10" s="176"/>
      <c r="J10" s="176"/>
      <c r="K10" s="176" t="s">
        <v>34</v>
      </c>
      <c r="L10" s="176"/>
      <c r="M10" s="91" t="s">
        <v>44</v>
      </c>
    </row>
    <row r="11" spans="1:13" ht="37.5" customHeight="1" x14ac:dyDescent="0.2">
      <c r="A11" s="177" t="str">
        <f>CONCATENATE('Z-singl'!B4," ",'Z-singl'!C4," (",'Z-singl'!D4,")")</f>
        <v>0 ---------- ()</v>
      </c>
      <c r="B11" s="178"/>
      <c r="C11" s="179"/>
      <c r="D11" s="176" t="str">
        <f>CONCATENATE('Z-singl'!E4," ",'Z-singl'!F4," (",'Z-singl'!G4,")")</f>
        <v>21 Lokaj David (Letonice)</v>
      </c>
      <c r="E11" s="176"/>
      <c r="F11" s="180"/>
      <c r="H11" s="177" t="str">
        <f>CONCATENATE('Z-singl'!B5," ",'Z-singl'!C5," (",'Z-singl'!D5,")")</f>
        <v>2 Nespěšný Hynek (MS Brno)</v>
      </c>
      <c r="I11" s="178"/>
      <c r="J11" s="179"/>
      <c r="K11" s="176" t="str">
        <f>CONCATENATE('Z-singl'!E5," ",'Z-singl'!F5," (",'Z-singl'!G5,")")</f>
        <v>22 Lysoněk Filip (Velké Opatovice)</v>
      </c>
      <c r="L11" s="176"/>
      <c r="M11" s="180"/>
    </row>
    <row r="12" spans="1:13" ht="21.75" customHeight="1" x14ac:dyDescent="0.2">
      <c r="A12" s="166"/>
      <c r="B12" s="167"/>
      <c r="C12" s="167"/>
      <c r="D12" s="167"/>
      <c r="E12" s="167"/>
      <c r="F12" s="168"/>
      <c r="G12" s="93"/>
      <c r="H12" s="166"/>
      <c r="I12" s="167"/>
      <c r="J12" s="167"/>
      <c r="K12" s="167"/>
      <c r="L12" s="167"/>
      <c r="M12" s="168"/>
    </row>
    <row r="13" spans="1:13" x14ac:dyDescent="0.2">
      <c r="A13" s="94" t="s">
        <v>26</v>
      </c>
      <c r="B13" s="95" t="s">
        <v>27</v>
      </c>
      <c r="C13" s="95" t="s">
        <v>28</v>
      </c>
      <c r="D13" s="95" t="s">
        <v>29</v>
      </c>
      <c r="E13" s="95" t="s">
        <v>30</v>
      </c>
      <c r="F13" s="96" t="s">
        <v>31</v>
      </c>
      <c r="H13" s="94" t="s">
        <v>26</v>
      </c>
      <c r="I13" s="95" t="s">
        <v>27</v>
      </c>
      <c r="J13" s="95" t="s">
        <v>28</v>
      </c>
      <c r="K13" s="95" t="s">
        <v>29</v>
      </c>
      <c r="L13" s="95" t="s">
        <v>30</v>
      </c>
      <c r="M13" s="96" t="s">
        <v>31</v>
      </c>
    </row>
    <row r="14" spans="1:13" ht="36" customHeight="1" x14ac:dyDescent="0.2">
      <c r="A14" s="97"/>
      <c r="B14" s="98"/>
      <c r="C14" s="98"/>
      <c r="D14" s="98"/>
      <c r="E14" s="98"/>
      <c r="F14" s="99"/>
      <c r="H14" s="97"/>
      <c r="I14" s="98"/>
      <c r="J14" s="98"/>
      <c r="K14" s="98"/>
      <c r="L14" s="98"/>
      <c r="M14" s="99"/>
    </row>
    <row r="15" spans="1:13" ht="36" customHeight="1" thickBot="1" x14ac:dyDescent="0.25">
      <c r="A15" s="169" t="s">
        <v>32</v>
      </c>
      <c r="B15" s="170"/>
      <c r="C15" s="170"/>
      <c r="D15" s="170" t="s">
        <v>33</v>
      </c>
      <c r="E15" s="170"/>
      <c r="F15" s="171"/>
      <c r="H15" s="169" t="s">
        <v>32</v>
      </c>
      <c r="I15" s="170"/>
      <c r="J15" s="170"/>
      <c r="K15" s="170" t="s">
        <v>33</v>
      </c>
      <c r="L15" s="170"/>
      <c r="M15" s="171"/>
    </row>
    <row r="16" spans="1:13" ht="18.75" customHeight="1" thickTop="1" thickBot="1" x14ac:dyDescent="0.25"/>
    <row r="17" spans="1:13" ht="37.5" customHeight="1" thickTop="1" x14ac:dyDescent="0.2">
      <c r="A17" s="172" t="str">
        <f>úvod!$C$6</f>
        <v>Krajské přebory</v>
      </c>
      <c r="B17" s="173"/>
      <c r="C17" s="173"/>
      <c r="D17" s="173"/>
      <c r="E17" s="173"/>
      <c r="F17" s="174"/>
      <c r="H17" s="172" t="str">
        <f>úvod!$C$6</f>
        <v>Krajské přebory</v>
      </c>
      <c r="I17" s="173"/>
      <c r="J17" s="173"/>
      <c r="K17" s="173"/>
      <c r="L17" s="173"/>
      <c r="M17" s="174"/>
    </row>
    <row r="18" spans="1:13" ht="37.5" customHeight="1" x14ac:dyDescent="0.2">
      <c r="A18" s="175" t="str">
        <f>'Z-singl'!A6</f>
        <v>1.st. U19 - muži Skupina A</v>
      </c>
      <c r="B18" s="176"/>
      <c r="C18" s="176"/>
      <c r="D18" s="176" t="s">
        <v>34</v>
      </c>
      <c r="E18" s="176"/>
      <c r="F18" s="91" t="s">
        <v>45</v>
      </c>
      <c r="H18" s="175" t="str">
        <f>'Z-singl'!A7</f>
        <v>1.st. U19 - muži Skupina A</v>
      </c>
      <c r="I18" s="176"/>
      <c r="J18" s="176"/>
      <c r="K18" s="176" t="s">
        <v>34</v>
      </c>
      <c r="L18" s="176"/>
      <c r="M18" s="91" t="s">
        <v>46</v>
      </c>
    </row>
    <row r="19" spans="1:13" ht="37.5" customHeight="1" x14ac:dyDescent="0.2">
      <c r="A19" s="177" t="str">
        <f>CONCATENATE('Z-singl'!B6," ",'Z-singl'!C6," (",'Z-singl'!D6,")")</f>
        <v>22 Lysoněk Filip (Velké Opatovice)</v>
      </c>
      <c r="B19" s="178"/>
      <c r="C19" s="179"/>
      <c r="D19" s="176" t="str">
        <f>CONCATENATE('Z-singl'!E6," ",'Z-singl'!F6," (",'Z-singl'!G6,")")</f>
        <v>0 ---------- ()</v>
      </c>
      <c r="E19" s="176"/>
      <c r="F19" s="180"/>
      <c r="H19" s="177" t="str">
        <f>CONCATENATE('Z-singl'!B7," ",'Z-singl'!C7," (",'Z-singl'!D7,")")</f>
        <v>21 Lokaj David (Letonice)</v>
      </c>
      <c r="I19" s="178"/>
      <c r="J19" s="179"/>
      <c r="K19" s="176" t="str">
        <f>CONCATENATE('Z-singl'!E7," ",'Z-singl'!F7," (",'Z-singl'!G7,")")</f>
        <v>2 Nespěšný Hynek (MS Brno)</v>
      </c>
      <c r="L19" s="176"/>
      <c r="M19" s="180"/>
    </row>
    <row r="20" spans="1:13" ht="20.25" customHeight="1" x14ac:dyDescent="0.2">
      <c r="A20" s="166"/>
      <c r="B20" s="167"/>
      <c r="C20" s="167"/>
      <c r="D20" s="167"/>
      <c r="E20" s="167"/>
      <c r="F20" s="168"/>
      <c r="G20" s="93"/>
      <c r="H20" s="166"/>
      <c r="I20" s="167"/>
      <c r="J20" s="167"/>
      <c r="K20" s="167"/>
      <c r="L20" s="167"/>
      <c r="M20" s="168"/>
    </row>
    <row r="21" spans="1:13" x14ac:dyDescent="0.2">
      <c r="A21" s="94" t="s">
        <v>26</v>
      </c>
      <c r="B21" s="95" t="s">
        <v>27</v>
      </c>
      <c r="C21" s="95" t="s">
        <v>28</v>
      </c>
      <c r="D21" s="95" t="s">
        <v>29</v>
      </c>
      <c r="E21" s="95" t="s">
        <v>30</v>
      </c>
      <c r="F21" s="96" t="s">
        <v>31</v>
      </c>
      <c r="H21" s="94" t="s">
        <v>26</v>
      </c>
      <c r="I21" s="95" t="s">
        <v>27</v>
      </c>
      <c r="J21" s="95" t="s">
        <v>28</v>
      </c>
      <c r="K21" s="95" t="s">
        <v>29</v>
      </c>
      <c r="L21" s="95" t="s">
        <v>30</v>
      </c>
      <c r="M21" s="96" t="s">
        <v>31</v>
      </c>
    </row>
    <row r="22" spans="1:13" ht="36" customHeight="1" x14ac:dyDescent="0.2">
      <c r="A22" s="97"/>
      <c r="B22" s="98"/>
      <c r="C22" s="98"/>
      <c r="D22" s="98"/>
      <c r="E22" s="98"/>
      <c r="F22" s="99"/>
      <c r="H22" s="97"/>
      <c r="I22" s="98"/>
      <c r="J22" s="98"/>
      <c r="K22" s="98"/>
      <c r="L22" s="98"/>
      <c r="M22" s="99"/>
    </row>
    <row r="23" spans="1:13" ht="36" customHeight="1" thickBot="1" x14ac:dyDescent="0.25">
      <c r="A23" s="169" t="s">
        <v>32</v>
      </c>
      <c r="B23" s="170"/>
      <c r="C23" s="170"/>
      <c r="D23" s="170" t="s">
        <v>33</v>
      </c>
      <c r="E23" s="170"/>
      <c r="F23" s="171"/>
      <c r="H23" s="169" t="s">
        <v>32</v>
      </c>
      <c r="I23" s="170"/>
      <c r="J23" s="170"/>
      <c r="K23" s="170" t="s">
        <v>33</v>
      </c>
      <c r="L23" s="170"/>
      <c r="M23" s="171"/>
    </row>
    <row r="24" spans="1:13" ht="12" customHeight="1" thickTop="1" thickBot="1" x14ac:dyDescent="0.25"/>
    <row r="25" spans="1:13" ht="37.5" customHeight="1" thickTop="1" x14ac:dyDescent="0.2">
      <c r="A25" s="172" t="str">
        <f>úvod!$C$6</f>
        <v>Krajské přebory</v>
      </c>
      <c r="B25" s="173"/>
      <c r="C25" s="173"/>
      <c r="D25" s="173"/>
      <c r="E25" s="173"/>
      <c r="F25" s="174"/>
      <c r="H25" s="172" t="str">
        <f>úvod!$C$6</f>
        <v>Krajské přebory</v>
      </c>
      <c r="I25" s="173"/>
      <c r="J25" s="173"/>
      <c r="K25" s="173"/>
      <c r="L25" s="173"/>
      <c r="M25" s="174"/>
    </row>
    <row r="26" spans="1:13" ht="37.5" customHeight="1" x14ac:dyDescent="0.2">
      <c r="A26" s="175" t="str">
        <f>'Z-singl'!A8</f>
        <v>1.st. U19 - muži Skupina B</v>
      </c>
      <c r="B26" s="176"/>
      <c r="C26" s="176"/>
      <c r="D26" s="176" t="s">
        <v>34</v>
      </c>
      <c r="E26" s="176"/>
      <c r="F26" s="91" t="s">
        <v>41</v>
      </c>
      <c r="H26" s="175" t="str">
        <f>'Z-singl'!A9</f>
        <v>1.st. U19 - muži Skupina B</v>
      </c>
      <c r="I26" s="176"/>
      <c r="J26" s="176"/>
      <c r="K26" s="176" t="s">
        <v>34</v>
      </c>
      <c r="L26" s="176"/>
      <c r="M26" s="91" t="s">
        <v>42</v>
      </c>
    </row>
    <row r="27" spans="1:13" ht="37.5" customHeight="1" x14ac:dyDescent="0.2">
      <c r="A27" s="177" t="str">
        <f>CONCATENATE('Z-singl'!B8," ",'Z-singl'!C8," (",'Z-singl'!D8,")")</f>
        <v>3 Krištof Lukáš (Tišnov)</v>
      </c>
      <c r="B27" s="178"/>
      <c r="C27" s="179"/>
      <c r="D27" s="176" t="str">
        <f>CONCATENATE('Z-singl'!E8," ",'Z-singl'!F8," (",'Z-singl'!G8,")")</f>
        <v>0 ---------- ()</v>
      </c>
      <c r="E27" s="176"/>
      <c r="F27" s="180"/>
      <c r="H27" s="177" t="str">
        <f>CONCATENATE('Z-singl'!B9," ",'Z-singl'!C9," (",'Z-singl'!D9,")")</f>
        <v>23 Pluháček Adam (Sokol Brno I)</v>
      </c>
      <c r="I27" s="178"/>
      <c r="J27" s="179"/>
      <c r="K27" s="176" t="str">
        <f>CONCATENATE('Z-singl'!E9," ",'Z-singl'!F9," (",'Z-singl'!G9,")")</f>
        <v>11 Krejčí David (MS Brno)</v>
      </c>
      <c r="L27" s="176"/>
      <c r="M27" s="180"/>
    </row>
    <row r="28" spans="1:13" ht="21.75" customHeight="1" x14ac:dyDescent="0.2">
      <c r="A28" s="166"/>
      <c r="B28" s="167"/>
      <c r="C28" s="167"/>
      <c r="D28" s="167"/>
      <c r="E28" s="167"/>
      <c r="F28" s="168"/>
      <c r="G28" s="93"/>
      <c r="H28" s="166"/>
      <c r="I28" s="167"/>
      <c r="J28" s="167"/>
      <c r="K28" s="167"/>
      <c r="L28" s="167"/>
      <c r="M28" s="168"/>
    </row>
    <row r="29" spans="1:13" x14ac:dyDescent="0.2">
      <c r="A29" s="94" t="s">
        <v>26</v>
      </c>
      <c r="B29" s="95" t="s">
        <v>27</v>
      </c>
      <c r="C29" s="95" t="s">
        <v>28</v>
      </c>
      <c r="D29" s="95" t="s">
        <v>29</v>
      </c>
      <c r="E29" s="95" t="s">
        <v>30</v>
      </c>
      <c r="F29" s="96" t="s">
        <v>31</v>
      </c>
      <c r="H29" s="94" t="s">
        <v>26</v>
      </c>
      <c r="I29" s="95" t="s">
        <v>27</v>
      </c>
      <c r="J29" s="95" t="s">
        <v>28</v>
      </c>
      <c r="K29" s="95" t="s">
        <v>29</v>
      </c>
      <c r="L29" s="95" t="s">
        <v>30</v>
      </c>
      <c r="M29" s="96" t="s">
        <v>31</v>
      </c>
    </row>
    <row r="30" spans="1:13" ht="36" customHeight="1" x14ac:dyDescent="0.2">
      <c r="A30" s="97"/>
      <c r="B30" s="98"/>
      <c r="C30" s="98"/>
      <c r="D30" s="98"/>
      <c r="E30" s="98"/>
      <c r="F30" s="99"/>
      <c r="H30" s="97"/>
      <c r="I30" s="98"/>
      <c r="J30" s="98"/>
      <c r="K30" s="98"/>
      <c r="L30" s="98"/>
      <c r="M30" s="99"/>
    </row>
    <row r="31" spans="1:13" ht="36" customHeight="1" thickBot="1" x14ac:dyDescent="0.25">
      <c r="A31" s="169" t="s">
        <v>32</v>
      </c>
      <c r="B31" s="170"/>
      <c r="C31" s="170"/>
      <c r="D31" s="170" t="s">
        <v>33</v>
      </c>
      <c r="E31" s="170"/>
      <c r="F31" s="171"/>
      <c r="H31" s="169" t="s">
        <v>32</v>
      </c>
      <c r="I31" s="170"/>
      <c r="J31" s="170"/>
      <c r="K31" s="170" t="s">
        <v>33</v>
      </c>
      <c r="L31" s="170"/>
      <c r="M31" s="171"/>
    </row>
    <row r="32" spans="1:13" ht="14.25" thickTop="1" thickBot="1" x14ac:dyDescent="0.25"/>
    <row r="33" spans="1:13" ht="37.5" customHeight="1" thickTop="1" x14ac:dyDescent="0.2">
      <c r="A33" s="172" t="str">
        <f>úvod!$C$6</f>
        <v>Krajské přebory</v>
      </c>
      <c r="B33" s="173"/>
      <c r="C33" s="173"/>
      <c r="D33" s="173"/>
      <c r="E33" s="173"/>
      <c r="F33" s="174"/>
      <c r="H33" s="172" t="str">
        <f>úvod!$C$6</f>
        <v>Krajské přebory</v>
      </c>
      <c r="I33" s="173"/>
      <c r="J33" s="173"/>
      <c r="K33" s="173"/>
      <c r="L33" s="173"/>
      <c r="M33" s="174"/>
    </row>
    <row r="34" spans="1:13" ht="37.5" customHeight="1" x14ac:dyDescent="0.2">
      <c r="A34" s="175" t="str">
        <f>'Z-singl'!A10</f>
        <v>1.st. U19 - muži Skupina B</v>
      </c>
      <c r="B34" s="176"/>
      <c r="C34" s="176"/>
      <c r="D34" s="176" t="s">
        <v>34</v>
      </c>
      <c r="E34" s="176"/>
      <c r="F34" s="91" t="s">
        <v>43</v>
      </c>
      <c r="H34" s="175" t="str">
        <f>'Z-singl'!A11</f>
        <v>1.st. U19 - muži Skupina B</v>
      </c>
      <c r="I34" s="176"/>
      <c r="J34" s="176"/>
      <c r="K34" s="176" t="s">
        <v>34</v>
      </c>
      <c r="L34" s="176"/>
      <c r="M34" s="91" t="s">
        <v>44</v>
      </c>
    </row>
    <row r="35" spans="1:13" ht="37.5" customHeight="1" x14ac:dyDescent="0.2">
      <c r="A35" s="177" t="str">
        <f>CONCATENATE('Z-singl'!B10," ",'Z-singl'!C10," (",'Z-singl'!D10,")")</f>
        <v>0 ---------- ()</v>
      </c>
      <c r="B35" s="178"/>
      <c r="C35" s="179"/>
      <c r="D35" s="176" t="str">
        <f>CONCATENATE('Z-singl'!E10," ",'Z-singl'!F10," (",'Z-singl'!G10,")")</f>
        <v>11 Krejčí David (MS Brno)</v>
      </c>
      <c r="E35" s="176"/>
      <c r="F35" s="180"/>
      <c r="H35" s="177" t="str">
        <f>CONCATENATE('Z-singl'!B11," ",'Z-singl'!C11," (",'Z-singl'!D11,")")</f>
        <v>3 Krištof Lukáš (Tišnov)</v>
      </c>
      <c r="I35" s="178"/>
      <c r="J35" s="179"/>
      <c r="K35" s="176" t="str">
        <f>CONCATENATE('Z-singl'!E11," ",'Z-singl'!F11," (",'Z-singl'!G11,")")</f>
        <v>23 Pluháček Adam (Sokol Brno I)</v>
      </c>
      <c r="L35" s="176"/>
      <c r="M35" s="180"/>
    </row>
    <row r="36" spans="1:13" ht="21" customHeight="1" x14ac:dyDescent="0.2">
      <c r="A36" s="166"/>
      <c r="B36" s="167"/>
      <c r="C36" s="167"/>
      <c r="D36" s="167"/>
      <c r="E36" s="167"/>
      <c r="F36" s="168"/>
      <c r="G36" s="93"/>
      <c r="H36" s="166"/>
      <c r="I36" s="167"/>
      <c r="J36" s="167"/>
      <c r="K36" s="167"/>
      <c r="L36" s="167"/>
      <c r="M36" s="168"/>
    </row>
    <row r="37" spans="1:13" x14ac:dyDescent="0.2">
      <c r="A37" s="94" t="s">
        <v>26</v>
      </c>
      <c r="B37" s="95" t="s">
        <v>27</v>
      </c>
      <c r="C37" s="95" t="s">
        <v>28</v>
      </c>
      <c r="D37" s="95" t="s">
        <v>29</v>
      </c>
      <c r="E37" s="95" t="s">
        <v>30</v>
      </c>
      <c r="F37" s="96" t="s">
        <v>31</v>
      </c>
      <c r="H37" s="94" t="s">
        <v>26</v>
      </c>
      <c r="I37" s="95" t="s">
        <v>27</v>
      </c>
      <c r="J37" s="95" t="s">
        <v>28</v>
      </c>
      <c r="K37" s="95" t="s">
        <v>29</v>
      </c>
      <c r="L37" s="95" t="s">
        <v>30</v>
      </c>
      <c r="M37" s="96" t="s">
        <v>31</v>
      </c>
    </row>
    <row r="38" spans="1:13" ht="36.75" customHeight="1" x14ac:dyDescent="0.2">
      <c r="A38" s="97"/>
      <c r="B38" s="98"/>
      <c r="C38" s="98"/>
      <c r="D38" s="98"/>
      <c r="E38" s="98"/>
      <c r="F38" s="99"/>
      <c r="H38" s="97"/>
      <c r="I38" s="98"/>
      <c r="J38" s="98"/>
      <c r="K38" s="98"/>
      <c r="L38" s="98"/>
      <c r="M38" s="99"/>
    </row>
    <row r="39" spans="1:13" ht="36.75" customHeight="1" thickBot="1" x14ac:dyDescent="0.25">
      <c r="A39" s="169" t="s">
        <v>32</v>
      </c>
      <c r="B39" s="170"/>
      <c r="C39" s="170"/>
      <c r="D39" s="170" t="s">
        <v>33</v>
      </c>
      <c r="E39" s="170"/>
      <c r="F39" s="171"/>
      <c r="H39" s="169" t="s">
        <v>32</v>
      </c>
      <c r="I39" s="170"/>
      <c r="J39" s="170"/>
      <c r="K39" s="170" t="s">
        <v>33</v>
      </c>
      <c r="L39" s="170"/>
      <c r="M39" s="171"/>
    </row>
    <row r="40" spans="1:13" ht="14.25" thickTop="1" thickBot="1" x14ac:dyDescent="0.25"/>
    <row r="41" spans="1:13" ht="37.5" customHeight="1" thickTop="1" x14ac:dyDescent="0.2">
      <c r="A41" s="172" t="str">
        <f>úvod!$C$6</f>
        <v>Krajské přebory</v>
      </c>
      <c r="B41" s="173"/>
      <c r="C41" s="173"/>
      <c r="D41" s="173"/>
      <c r="E41" s="173"/>
      <c r="F41" s="174"/>
      <c r="H41" s="172" t="str">
        <f>úvod!$C$6</f>
        <v>Krajské přebory</v>
      </c>
      <c r="I41" s="173"/>
      <c r="J41" s="173"/>
      <c r="K41" s="173"/>
      <c r="L41" s="173"/>
      <c r="M41" s="174"/>
    </row>
    <row r="42" spans="1:13" ht="37.5" customHeight="1" x14ac:dyDescent="0.2">
      <c r="A42" s="175" t="str">
        <f>'Z-singl'!A12</f>
        <v>1.st. U19 - muži Skupina B</v>
      </c>
      <c r="B42" s="176"/>
      <c r="C42" s="176"/>
      <c r="D42" s="176" t="s">
        <v>34</v>
      </c>
      <c r="E42" s="176"/>
      <c r="F42" s="91" t="s">
        <v>45</v>
      </c>
      <c r="H42" s="175" t="str">
        <f>'Z-singl'!A13</f>
        <v>1.st. U19 - muži Skupina B</v>
      </c>
      <c r="I42" s="176"/>
      <c r="J42" s="176"/>
      <c r="K42" s="176" t="s">
        <v>34</v>
      </c>
      <c r="L42" s="176"/>
      <c r="M42" s="91" t="s">
        <v>46</v>
      </c>
    </row>
    <row r="43" spans="1:13" ht="37.5" customHeight="1" x14ac:dyDescent="0.2">
      <c r="A43" s="177" t="str">
        <f>CONCATENATE('Z-singl'!B12," ",'Z-singl'!C12," (",'Z-singl'!D12,")")</f>
        <v>23 Pluháček Adam (Sokol Brno I)</v>
      </c>
      <c r="B43" s="178"/>
      <c r="C43" s="179"/>
      <c r="D43" s="176" t="str">
        <f>CONCATENATE('Z-singl'!E12," ",'Z-singl'!F12," (",'Z-singl'!G12,")")</f>
        <v>0 ---------- ()</v>
      </c>
      <c r="E43" s="176"/>
      <c r="F43" s="180"/>
      <c r="H43" s="177" t="str">
        <f>CONCATENATE('Z-singl'!B13," ",'Z-singl'!C13," (",'Z-singl'!D13,")")</f>
        <v>11 Krejčí David (MS Brno)</v>
      </c>
      <c r="I43" s="178"/>
      <c r="J43" s="179"/>
      <c r="K43" s="176" t="str">
        <f>CONCATENATE('Z-singl'!E13," ",'Z-singl'!F13," (",'Z-singl'!G13,")")</f>
        <v>3 Krištof Lukáš (Tišnov)</v>
      </c>
      <c r="L43" s="176"/>
      <c r="M43" s="180"/>
    </row>
    <row r="44" spans="1:13" ht="21" customHeight="1" x14ac:dyDescent="0.2">
      <c r="A44" s="166"/>
      <c r="B44" s="167"/>
      <c r="C44" s="167"/>
      <c r="D44" s="167"/>
      <c r="E44" s="167"/>
      <c r="F44" s="168"/>
      <c r="G44" s="93"/>
      <c r="H44" s="166"/>
      <c r="I44" s="167"/>
      <c r="J44" s="167"/>
      <c r="K44" s="167"/>
      <c r="L44" s="167"/>
      <c r="M44" s="168"/>
    </row>
    <row r="45" spans="1:13" x14ac:dyDescent="0.2">
      <c r="A45" s="94" t="s">
        <v>26</v>
      </c>
      <c r="B45" s="95" t="s">
        <v>27</v>
      </c>
      <c r="C45" s="95" t="s">
        <v>28</v>
      </c>
      <c r="D45" s="95" t="s">
        <v>29</v>
      </c>
      <c r="E45" s="95" t="s">
        <v>30</v>
      </c>
      <c r="F45" s="96" t="s">
        <v>31</v>
      </c>
      <c r="H45" s="94" t="s">
        <v>26</v>
      </c>
      <c r="I45" s="95" t="s">
        <v>27</v>
      </c>
      <c r="J45" s="95" t="s">
        <v>28</v>
      </c>
      <c r="K45" s="95" t="s">
        <v>29</v>
      </c>
      <c r="L45" s="95" t="s">
        <v>30</v>
      </c>
      <c r="M45" s="96" t="s">
        <v>31</v>
      </c>
    </row>
    <row r="46" spans="1:13" ht="36.75" customHeight="1" x14ac:dyDescent="0.2">
      <c r="A46" s="97"/>
      <c r="B46" s="98"/>
      <c r="C46" s="98"/>
      <c r="D46" s="98"/>
      <c r="E46" s="98"/>
      <c r="F46" s="99"/>
      <c r="H46" s="97"/>
      <c r="I46" s="98"/>
      <c r="J46" s="98"/>
      <c r="K46" s="98"/>
      <c r="L46" s="98"/>
      <c r="M46" s="99"/>
    </row>
    <row r="47" spans="1:13" ht="36.75" customHeight="1" thickBot="1" x14ac:dyDescent="0.25">
      <c r="A47" s="169" t="s">
        <v>32</v>
      </c>
      <c r="B47" s="170"/>
      <c r="C47" s="170"/>
      <c r="D47" s="170" t="s">
        <v>33</v>
      </c>
      <c r="E47" s="170"/>
      <c r="F47" s="171"/>
      <c r="H47" s="169" t="s">
        <v>32</v>
      </c>
      <c r="I47" s="170"/>
      <c r="J47" s="170"/>
      <c r="K47" s="170" t="s">
        <v>33</v>
      </c>
      <c r="L47" s="170"/>
      <c r="M47" s="171"/>
    </row>
    <row r="48" spans="1:13" ht="14.25" thickTop="1" thickBot="1" x14ac:dyDescent="0.25"/>
    <row r="49" spans="1:13" ht="26.25" thickTop="1" x14ac:dyDescent="0.2">
      <c r="A49" s="172" t="str">
        <f>úvod!$C$6</f>
        <v>Krajské přebory</v>
      </c>
      <c r="B49" s="173"/>
      <c r="C49" s="173"/>
      <c r="D49" s="173"/>
      <c r="E49" s="173"/>
      <c r="F49" s="174"/>
      <c r="H49" s="172" t="str">
        <f>úvod!$C$6</f>
        <v>Krajské přebory</v>
      </c>
      <c r="I49" s="173"/>
      <c r="J49" s="173"/>
      <c r="K49" s="173"/>
      <c r="L49" s="173"/>
      <c r="M49" s="174"/>
    </row>
    <row r="50" spans="1:13" ht="36" customHeight="1" x14ac:dyDescent="0.2">
      <c r="A50" s="175" t="str">
        <f>'Z-singl'!A14</f>
        <v>1.st. U19 - muži Skupina C</v>
      </c>
      <c r="B50" s="176"/>
      <c r="C50" s="176"/>
      <c r="D50" s="176" t="s">
        <v>34</v>
      </c>
      <c r="E50" s="176"/>
      <c r="F50" s="91" t="s">
        <v>41</v>
      </c>
      <c r="H50" s="175" t="str">
        <f>'Z-singl'!A15</f>
        <v>1.st. U19 - muži Skupina C</v>
      </c>
      <c r="I50" s="176"/>
      <c r="J50" s="176"/>
      <c r="K50" s="176" t="s">
        <v>34</v>
      </c>
      <c r="L50" s="176"/>
      <c r="M50" s="91" t="s">
        <v>42</v>
      </c>
    </row>
    <row r="51" spans="1:13" ht="36" customHeight="1" x14ac:dyDescent="0.25">
      <c r="A51" s="177" t="str">
        <f>CONCATENATE('Z-singl'!B14," ",'Z-singl'!C14," (",'Z-singl'!D14,")")</f>
        <v>4 Luska Petr (KST Vyškov)</v>
      </c>
      <c r="B51" s="178"/>
      <c r="C51" s="179"/>
      <c r="D51" s="176" t="str">
        <f>CONCATENATE('Z-singl'!E14," ",'Z-singl'!F14," (",'Z-singl'!G14,")")</f>
        <v>0 ---------- ()</v>
      </c>
      <c r="E51" s="176"/>
      <c r="F51" s="180"/>
      <c r="G51" s="92"/>
      <c r="H51" s="177" t="str">
        <f>CONCATENATE('Z-singl'!B15," ",'Z-singl'!C15," (",'Z-singl'!D15,")")</f>
        <v>20 Ševčík Ondřej (Velké Opatovice)</v>
      </c>
      <c r="I51" s="178"/>
      <c r="J51" s="179"/>
      <c r="K51" s="176" t="str">
        <f>CONCATENATE('Z-singl'!E15," ",'Z-singl'!F15," (",'Z-singl'!G15,")")</f>
        <v>9 Štěpánek Ondřej (KST Blansko)</v>
      </c>
      <c r="L51" s="176"/>
      <c r="M51" s="180"/>
    </row>
    <row r="52" spans="1:13" ht="21" customHeight="1" x14ac:dyDescent="0.2">
      <c r="A52" s="166"/>
      <c r="B52" s="167"/>
      <c r="C52" s="167"/>
      <c r="D52" s="167"/>
      <c r="E52" s="167"/>
      <c r="F52" s="168"/>
      <c r="G52" s="93"/>
      <c r="H52" s="166"/>
      <c r="I52" s="167"/>
      <c r="J52" s="167"/>
      <c r="K52" s="167"/>
      <c r="L52" s="167"/>
      <c r="M52" s="168"/>
    </row>
    <row r="53" spans="1:13" x14ac:dyDescent="0.2">
      <c r="A53" s="94" t="s">
        <v>26</v>
      </c>
      <c r="B53" s="95" t="s">
        <v>27</v>
      </c>
      <c r="C53" s="95" t="s">
        <v>28</v>
      </c>
      <c r="D53" s="95" t="s">
        <v>29</v>
      </c>
      <c r="E53" s="95" t="s">
        <v>30</v>
      </c>
      <c r="F53" s="96" t="s">
        <v>31</v>
      </c>
      <c r="H53" s="94" t="s">
        <v>26</v>
      </c>
      <c r="I53" s="95" t="s">
        <v>27</v>
      </c>
      <c r="J53" s="95" t="s">
        <v>28</v>
      </c>
      <c r="K53" s="95" t="s">
        <v>29</v>
      </c>
      <c r="L53" s="95" t="s">
        <v>30</v>
      </c>
      <c r="M53" s="96" t="s">
        <v>31</v>
      </c>
    </row>
    <row r="54" spans="1:13" ht="36.75" customHeight="1" x14ac:dyDescent="0.2">
      <c r="A54" s="97"/>
      <c r="B54" s="98"/>
      <c r="C54" s="98"/>
      <c r="D54" s="98"/>
      <c r="E54" s="98"/>
      <c r="F54" s="99"/>
      <c r="H54" s="97"/>
      <c r="I54" s="98"/>
      <c r="J54" s="98"/>
      <c r="K54" s="98"/>
      <c r="L54" s="98"/>
      <c r="M54" s="99"/>
    </row>
    <row r="55" spans="1:13" ht="36.75" customHeight="1" thickBot="1" x14ac:dyDescent="0.25">
      <c r="A55" s="169" t="s">
        <v>32</v>
      </c>
      <c r="B55" s="170"/>
      <c r="C55" s="170"/>
      <c r="D55" s="170" t="s">
        <v>33</v>
      </c>
      <c r="E55" s="170"/>
      <c r="F55" s="171"/>
      <c r="H55" s="169" t="s">
        <v>32</v>
      </c>
      <c r="I55" s="170"/>
      <c r="J55" s="170"/>
      <c r="K55" s="170" t="s">
        <v>33</v>
      </c>
      <c r="L55" s="170"/>
      <c r="M55" s="171"/>
    </row>
    <row r="56" spans="1:13" ht="14.25" thickTop="1" thickBot="1" x14ac:dyDescent="0.25"/>
    <row r="57" spans="1:13" ht="37.5" customHeight="1" thickTop="1" x14ac:dyDescent="0.2">
      <c r="A57" s="172" t="str">
        <f>úvod!$C$6</f>
        <v>Krajské přebory</v>
      </c>
      <c r="B57" s="173"/>
      <c r="C57" s="173"/>
      <c r="D57" s="173"/>
      <c r="E57" s="173"/>
      <c r="F57" s="174"/>
      <c r="H57" s="172" t="str">
        <f>úvod!$C$6</f>
        <v>Krajské přebory</v>
      </c>
      <c r="I57" s="173"/>
      <c r="J57" s="173"/>
      <c r="K57" s="173"/>
      <c r="L57" s="173"/>
      <c r="M57" s="174"/>
    </row>
    <row r="58" spans="1:13" ht="37.5" customHeight="1" x14ac:dyDescent="0.2">
      <c r="A58" s="175" t="str">
        <f>'Z-singl'!A16</f>
        <v>1.st. U19 - muži Skupina C</v>
      </c>
      <c r="B58" s="176"/>
      <c r="C58" s="176"/>
      <c r="D58" s="176" t="s">
        <v>34</v>
      </c>
      <c r="E58" s="176"/>
      <c r="F58" s="91" t="s">
        <v>43</v>
      </c>
      <c r="H58" s="175" t="str">
        <f>'Z-singl'!A17</f>
        <v>1.st. U19 - muži Skupina C</v>
      </c>
      <c r="I58" s="176"/>
      <c r="J58" s="176"/>
      <c r="K58" s="176" t="s">
        <v>34</v>
      </c>
      <c r="L58" s="176"/>
      <c r="M58" s="91" t="s">
        <v>44</v>
      </c>
    </row>
    <row r="59" spans="1:13" ht="37.5" customHeight="1" x14ac:dyDescent="0.2">
      <c r="A59" s="177" t="str">
        <f>CONCATENATE('Z-singl'!B16," ",'Z-singl'!C16," (",'Z-singl'!D16,")")</f>
        <v>0 ---------- ()</v>
      </c>
      <c r="B59" s="178"/>
      <c r="C59" s="179"/>
      <c r="D59" s="176" t="str">
        <f>CONCATENATE('Z-singl'!E16," ",'Z-singl'!F16," (",'Z-singl'!G16,")")</f>
        <v>9 Štěpánek Ondřej (KST Blansko)</v>
      </c>
      <c r="E59" s="176"/>
      <c r="F59" s="180"/>
      <c r="H59" s="177" t="str">
        <f>CONCATENATE('Z-singl'!B17," ",'Z-singl'!C17," (",'Z-singl'!D17,")")</f>
        <v>4 Luska Petr (KST Vyškov)</v>
      </c>
      <c r="I59" s="178"/>
      <c r="J59" s="179"/>
      <c r="K59" s="176" t="str">
        <f>CONCATENATE('Z-singl'!E17," ",'Z-singl'!F17," (",'Z-singl'!G17,")")</f>
        <v>20 Ševčík Ondřej (Velké Opatovice)</v>
      </c>
      <c r="L59" s="176"/>
      <c r="M59" s="180"/>
    </row>
    <row r="60" spans="1:13" ht="21" customHeight="1" x14ac:dyDescent="0.2">
      <c r="A60" s="166"/>
      <c r="B60" s="167"/>
      <c r="C60" s="167"/>
      <c r="D60" s="167"/>
      <c r="E60" s="167"/>
      <c r="F60" s="168"/>
      <c r="G60" s="93"/>
      <c r="H60" s="166"/>
      <c r="I60" s="167"/>
      <c r="J60" s="167"/>
      <c r="K60" s="167"/>
      <c r="L60" s="167"/>
      <c r="M60" s="168"/>
    </row>
    <row r="61" spans="1:13" x14ac:dyDescent="0.2">
      <c r="A61" s="94" t="s">
        <v>26</v>
      </c>
      <c r="B61" s="95" t="s">
        <v>27</v>
      </c>
      <c r="C61" s="95" t="s">
        <v>28</v>
      </c>
      <c r="D61" s="95" t="s">
        <v>29</v>
      </c>
      <c r="E61" s="95" t="s">
        <v>30</v>
      </c>
      <c r="F61" s="96" t="s">
        <v>31</v>
      </c>
      <c r="H61" s="94" t="s">
        <v>26</v>
      </c>
      <c r="I61" s="95" t="s">
        <v>27</v>
      </c>
      <c r="J61" s="95" t="s">
        <v>28</v>
      </c>
      <c r="K61" s="95" t="s">
        <v>29</v>
      </c>
      <c r="L61" s="95" t="s">
        <v>30</v>
      </c>
      <c r="M61" s="96" t="s">
        <v>31</v>
      </c>
    </row>
    <row r="62" spans="1:13" ht="36.75" customHeight="1" x14ac:dyDescent="0.2">
      <c r="A62" s="97"/>
      <c r="B62" s="98"/>
      <c r="C62" s="98"/>
      <c r="D62" s="98"/>
      <c r="E62" s="98"/>
      <c r="F62" s="99"/>
      <c r="H62" s="97"/>
      <c r="I62" s="98"/>
      <c r="J62" s="98"/>
      <c r="K62" s="98"/>
      <c r="L62" s="98"/>
      <c r="M62" s="99"/>
    </row>
    <row r="63" spans="1:13" ht="36.75" customHeight="1" thickBot="1" x14ac:dyDescent="0.25">
      <c r="A63" s="169" t="s">
        <v>32</v>
      </c>
      <c r="B63" s="170"/>
      <c r="C63" s="170"/>
      <c r="D63" s="170" t="s">
        <v>33</v>
      </c>
      <c r="E63" s="170"/>
      <c r="F63" s="171"/>
      <c r="H63" s="169" t="s">
        <v>32</v>
      </c>
      <c r="I63" s="170"/>
      <c r="J63" s="170"/>
      <c r="K63" s="170" t="s">
        <v>33</v>
      </c>
      <c r="L63" s="170"/>
      <c r="M63" s="171"/>
    </row>
    <row r="64" spans="1:13" ht="14.25" thickTop="1" thickBot="1" x14ac:dyDescent="0.25"/>
    <row r="65" spans="1:13" ht="37.5" customHeight="1" thickTop="1" x14ac:dyDescent="0.2">
      <c r="A65" s="172" t="str">
        <f>úvod!$C$6</f>
        <v>Krajské přebory</v>
      </c>
      <c r="B65" s="173"/>
      <c r="C65" s="173"/>
      <c r="D65" s="173"/>
      <c r="E65" s="173"/>
      <c r="F65" s="174"/>
      <c r="H65" s="172" t="str">
        <f>úvod!$C$6</f>
        <v>Krajské přebory</v>
      </c>
      <c r="I65" s="173"/>
      <c r="J65" s="173"/>
      <c r="K65" s="173"/>
      <c r="L65" s="173"/>
      <c r="M65" s="174"/>
    </row>
    <row r="66" spans="1:13" ht="37.5" customHeight="1" x14ac:dyDescent="0.2">
      <c r="A66" s="175" t="str">
        <f>'Z-singl'!A18</f>
        <v>1.st. U19 - muži Skupina C</v>
      </c>
      <c r="B66" s="176"/>
      <c r="C66" s="176"/>
      <c r="D66" s="176" t="s">
        <v>34</v>
      </c>
      <c r="E66" s="176"/>
      <c r="F66" s="91" t="s">
        <v>45</v>
      </c>
      <c r="H66" s="175" t="str">
        <f>'Z-singl'!A19</f>
        <v>1.st. U19 - muži Skupina C</v>
      </c>
      <c r="I66" s="176"/>
      <c r="J66" s="176"/>
      <c r="K66" s="176" t="s">
        <v>34</v>
      </c>
      <c r="L66" s="176"/>
      <c r="M66" s="91" t="s">
        <v>46</v>
      </c>
    </row>
    <row r="67" spans="1:13" ht="37.5" customHeight="1" x14ac:dyDescent="0.2">
      <c r="A67" s="177" t="str">
        <f>CONCATENATE('Z-singl'!B18," ",'Z-singl'!C18," (",'Z-singl'!D18,")")</f>
        <v>20 Ševčík Ondřej (Velké Opatovice)</v>
      </c>
      <c r="B67" s="178"/>
      <c r="C67" s="179"/>
      <c r="D67" s="176" t="str">
        <f>CONCATENATE('Z-singl'!E18," ",'Z-singl'!F18," (",'Z-singl'!G18,")")</f>
        <v>0 ---------- ()</v>
      </c>
      <c r="E67" s="176"/>
      <c r="F67" s="180"/>
      <c r="H67" s="177" t="str">
        <f>CONCATENATE('Z-singl'!B19," ",'Z-singl'!C19," (",'Z-singl'!D19,")")</f>
        <v>9 Štěpánek Ondřej (KST Blansko)</v>
      </c>
      <c r="I67" s="178"/>
      <c r="J67" s="179"/>
      <c r="K67" s="176" t="str">
        <f>CONCATENATE('Z-singl'!E19," ",'Z-singl'!F19," (",'Z-singl'!G19,")")</f>
        <v>4 Luska Petr (KST Vyškov)</v>
      </c>
      <c r="L67" s="176"/>
      <c r="M67" s="180"/>
    </row>
    <row r="68" spans="1:13" ht="21" customHeight="1" x14ac:dyDescent="0.2">
      <c r="A68" s="166"/>
      <c r="B68" s="167"/>
      <c r="C68" s="167"/>
      <c r="D68" s="167"/>
      <c r="E68" s="167"/>
      <c r="F68" s="168"/>
      <c r="G68" s="93"/>
      <c r="H68" s="166"/>
      <c r="I68" s="167"/>
      <c r="J68" s="167"/>
      <c r="K68" s="167"/>
      <c r="L68" s="167"/>
      <c r="M68" s="168"/>
    </row>
    <row r="69" spans="1:13" x14ac:dyDescent="0.2">
      <c r="A69" s="94" t="s">
        <v>26</v>
      </c>
      <c r="B69" s="95" t="s">
        <v>27</v>
      </c>
      <c r="C69" s="95" t="s">
        <v>28</v>
      </c>
      <c r="D69" s="95" t="s">
        <v>29</v>
      </c>
      <c r="E69" s="95" t="s">
        <v>30</v>
      </c>
      <c r="F69" s="96" t="s">
        <v>31</v>
      </c>
      <c r="H69" s="94" t="s">
        <v>26</v>
      </c>
      <c r="I69" s="95" t="s">
        <v>27</v>
      </c>
      <c r="J69" s="95" t="s">
        <v>28</v>
      </c>
      <c r="K69" s="95" t="s">
        <v>29</v>
      </c>
      <c r="L69" s="95" t="s">
        <v>30</v>
      </c>
      <c r="M69" s="96" t="s">
        <v>31</v>
      </c>
    </row>
    <row r="70" spans="1:13" ht="36.75" customHeight="1" x14ac:dyDescent="0.2">
      <c r="A70" s="97"/>
      <c r="B70" s="98"/>
      <c r="C70" s="98"/>
      <c r="D70" s="98"/>
      <c r="E70" s="98"/>
      <c r="F70" s="99"/>
      <c r="H70" s="97"/>
      <c r="I70" s="98"/>
      <c r="J70" s="98"/>
      <c r="K70" s="98"/>
      <c r="L70" s="98"/>
      <c r="M70" s="99"/>
    </row>
    <row r="71" spans="1:13" ht="36.75" customHeight="1" thickBot="1" x14ac:dyDescent="0.25">
      <c r="A71" s="169" t="s">
        <v>32</v>
      </c>
      <c r="B71" s="170"/>
      <c r="C71" s="170"/>
      <c r="D71" s="170" t="s">
        <v>33</v>
      </c>
      <c r="E71" s="170"/>
      <c r="F71" s="171"/>
      <c r="H71" s="169" t="s">
        <v>32</v>
      </c>
      <c r="I71" s="170"/>
      <c r="J71" s="170"/>
      <c r="K71" s="170" t="s">
        <v>33</v>
      </c>
      <c r="L71" s="170"/>
      <c r="M71" s="171"/>
    </row>
    <row r="72" spans="1:13" ht="14.25" thickTop="1" thickBot="1" x14ac:dyDescent="0.25"/>
    <row r="73" spans="1:13" ht="37.5" customHeight="1" thickTop="1" x14ac:dyDescent="0.2">
      <c r="A73" s="172" t="str">
        <f>úvod!$C$6</f>
        <v>Krajské přebory</v>
      </c>
      <c r="B73" s="173"/>
      <c r="C73" s="173"/>
      <c r="D73" s="173"/>
      <c r="E73" s="173"/>
      <c r="F73" s="174"/>
      <c r="H73" s="172" t="str">
        <f>úvod!$C$6</f>
        <v>Krajské přebory</v>
      </c>
      <c r="I73" s="173"/>
      <c r="J73" s="173"/>
      <c r="K73" s="173"/>
      <c r="L73" s="173"/>
      <c r="M73" s="174"/>
    </row>
    <row r="74" spans="1:13" ht="37.5" customHeight="1" x14ac:dyDescent="0.2">
      <c r="A74" s="175" t="str">
        <f>'Z-singl'!A20</f>
        <v>1.st. U19 - muži Skupina D</v>
      </c>
      <c r="B74" s="176"/>
      <c r="C74" s="176"/>
      <c r="D74" s="176" t="s">
        <v>34</v>
      </c>
      <c r="E74" s="176"/>
      <c r="F74" s="91" t="s">
        <v>41</v>
      </c>
      <c r="H74" s="175" t="str">
        <f>'Z-singl'!A21</f>
        <v>1.st. U19 - muži Skupina D</v>
      </c>
      <c r="I74" s="176"/>
      <c r="J74" s="176"/>
      <c r="K74" s="176" t="s">
        <v>34</v>
      </c>
      <c r="L74" s="176"/>
      <c r="M74" s="91" t="s">
        <v>42</v>
      </c>
    </row>
    <row r="75" spans="1:13" ht="37.5" customHeight="1" x14ac:dyDescent="0.2">
      <c r="A75" s="177" t="str">
        <f>CONCATENATE('Z-singl'!B20," ",'Z-singl'!C20," (",'Z-singl'!D20,")")</f>
        <v>5 Drápal Metoděj (MS Brno)</v>
      </c>
      <c r="B75" s="178"/>
      <c r="C75" s="179"/>
      <c r="D75" s="176" t="str">
        <f>CONCATENATE('Z-singl'!E20," ",'Z-singl'!F20," (",'Z-singl'!G20,")")</f>
        <v>0 ---------- ()</v>
      </c>
      <c r="E75" s="176"/>
      <c r="F75" s="180"/>
      <c r="H75" s="177" t="str">
        <f>CONCATENATE('Z-singl'!B21," ",'Z-singl'!C21," (",'Z-singl'!D21,")")</f>
        <v>27 Wutka Michal (KST Blansko)</v>
      </c>
      <c r="I75" s="178"/>
      <c r="J75" s="179"/>
      <c r="K75" s="176" t="str">
        <f>CONCATENATE('Z-singl'!E21," ",'Z-singl'!F21," (",'Z-singl'!G21,")")</f>
        <v>10 Vincenec Oliver (KST Vyškov)</v>
      </c>
      <c r="L75" s="176"/>
      <c r="M75" s="180"/>
    </row>
    <row r="76" spans="1:13" ht="21" customHeight="1" x14ac:dyDescent="0.2">
      <c r="A76" s="166"/>
      <c r="B76" s="167"/>
      <c r="C76" s="167"/>
      <c r="D76" s="167"/>
      <c r="E76" s="167"/>
      <c r="F76" s="168"/>
      <c r="G76" s="93"/>
      <c r="H76" s="166"/>
      <c r="I76" s="167"/>
      <c r="J76" s="167"/>
      <c r="K76" s="167"/>
      <c r="L76" s="167"/>
      <c r="M76" s="168"/>
    </row>
    <row r="77" spans="1:13" x14ac:dyDescent="0.2">
      <c r="A77" s="94" t="s">
        <v>26</v>
      </c>
      <c r="B77" s="95" t="s">
        <v>27</v>
      </c>
      <c r="C77" s="95" t="s">
        <v>28</v>
      </c>
      <c r="D77" s="95" t="s">
        <v>29</v>
      </c>
      <c r="E77" s="95" t="s">
        <v>30</v>
      </c>
      <c r="F77" s="96" t="s">
        <v>31</v>
      </c>
      <c r="H77" s="94" t="s">
        <v>26</v>
      </c>
      <c r="I77" s="95" t="s">
        <v>27</v>
      </c>
      <c r="J77" s="95" t="s">
        <v>28</v>
      </c>
      <c r="K77" s="95" t="s">
        <v>29</v>
      </c>
      <c r="L77" s="95" t="s">
        <v>30</v>
      </c>
      <c r="M77" s="96" t="s">
        <v>31</v>
      </c>
    </row>
    <row r="78" spans="1:13" ht="36.75" customHeight="1" x14ac:dyDescent="0.2">
      <c r="A78" s="97"/>
      <c r="B78" s="98"/>
      <c r="C78" s="98"/>
      <c r="D78" s="98"/>
      <c r="E78" s="98"/>
      <c r="F78" s="99"/>
      <c r="H78" s="97"/>
      <c r="I78" s="98"/>
      <c r="J78" s="98"/>
      <c r="K78" s="98"/>
      <c r="L78" s="98"/>
      <c r="M78" s="99"/>
    </row>
    <row r="79" spans="1:13" ht="36.75" customHeight="1" thickBot="1" x14ac:dyDescent="0.25">
      <c r="A79" s="169" t="s">
        <v>32</v>
      </c>
      <c r="B79" s="170"/>
      <c r="C79" s="170"/>
      <c r="D79" s="170" t="s">
        <v>33</v>
      </c>
      <c r="E79" s="170"/>
      <c r="F79" s="171"/>
      <c r="H79" s="169" t="s">
        <v>32</v>
      </c>
      <c r="I79" s="170"/>
      <c r="J79" s="170"/>
      <c r="K79" s="170" t="s">
        <v>33</v>
      </c>
      <c r="L79" s="170"/>
      <c r="M79" s="171"/>
    </row>
    <row r="80" spans="1:13" ht="14.25" thickTop="1" thickBot="1" x14ac:dyDescent="0.25"/>
    <row r="81" spans="1:13" ht="37.5" customHeight="1" thickTop="1" x14ac:dyDescent="0.2">
      <c r="A81" s="172" t="str">
        <f>úvod!$C$6</f>
        <v>Krajské přebory</v>
      </c>
      <c r="B81" s="173"/>
      <c r="C81" s="173"/>
      <c r="D81" s="173"/>
      <c r="E81" s="173"/>
      <c r="F81" s="174"/>
      <c r="H81" s="172" t="str">
        <f>úvod!$C$6</f>
        <v>Krajské přebory</v>
      </c>
      <c r="I81" s="173"/>
      <c r="J81" s="173"/>
      <c r="K81" s="173"/>
      <c r="L81" s="173"/>
      <c r="M81" s="174"/>
    </row>
    <row r="82" spans="1:13" ht="37.5" customHeight="1" x14ac:dyDescent="0.2">
      <c r="A82" s="175" t="str">
        <f>'Z-singl'!A22</f>
        <v>1.st. U19 - muži Skupina D</v>
      </c>
      <c r="B82" s="176"/>
      <c r="C82" s="176"/>
      <c r="D82" s="176" t="s">
        <v>34</v>
      </c>
      <c r="E82" s="176"/>
      <c r="F82" s="91" t="s">
        <v>43</v>
      </c>
      <c r="H82" s="175" t="str">
        <f>'Z-singl'!A23</f>
        <v>1.st. U19 - muži Skupina D</v>
      </c>
      <c r="I82" s="176"/>
      <c r="J82" s="176"/>
      <c r="K82" s="176" t="s">
        <v>34</v>
      </c>
      <c r="L82" s="176"/>
      <c r="M82" s="91" t="s">
        <v>44</v>
      </c>
    </row>
    <row r="83" spans="1:13" ht="37.5" customHeight="1" x14ac:dyDescent="0.2">
      <c r="A83" s="177" t="str">
        <f>CONCATENATE('Z-singl'!B22," ",'Z-singl'!C22," (",'Z-singl'!D22,")")</f>
        <v>0 ---------- ()</v>
      </c>
      <c r="B83" s="178"/>
      <c r="C83" s="179"/>
      <c r="D83" s="176" t="str">
        <f>CONCATENATE('Z-singl'!E22," ",'Z-singl'!F22," (",'Z-singl'!G22,")")</f>
        <v>10 Vincenec Oliver (KST Vyškov)</v>
      </c>
      <c r="E83" s="176"/>
      <c r="F83" s="180"/>
      <c r="H83" s="177" t="str">
        <f>CONCATENATE('Z-singl'!B23," ",'Z-singl'!C23," (",'Z-singl'!D23,")")</f>
        <v>5 Drápal Metoděj (MS Brno)</v>
      </c>
      <c r="I83" s="178"/>
      <c r="J83" s="179"/>
      <c r="K83" s="176" t="str">
        <f>CONCATENATE('Z-singl'!E23," ",'Z-singl'!F23," (",'Z-singl'!G23,")")</f>
        <v>27 Wutka Michal (KST Blansko)</v>
      </c>
      <c r="L83" s="176"/>
      <c r="M83" s="180"/>
    </row>
    <row r="84" spans="1:13" ht="21" customHeight="1" x14ac:dyDescent="0.2">
      <c r="A84" s="166"/>
      <c r="B84" s="167"/>
      <c r="C84" s="167"/>
      <c r="D84" s="167"/>
      <c r="E84" s="167"/>
      <c r="F84" s="168"/>
      <c r="G84" s="93"/>
      <c r="H84" s="166"/>
      <c r="I84" s="167"/>
      <c r="J84" s="167"/>
      <c r="K84" s="167"/>
      <c r="L84" s="167"/>
      <c r="M84" s="168"/>
    </row>
    <row r="85" spans="1:13" x14ac:dyDescent="0.2">
      <c r="A85" s="94" t="s">
        <v>26</v>
      </c>
      <c r="B85" s="95" t="s">
        <v>27</v>
      </c>
      <c r="C85" s="95" t="s">
        <v>28</v>
      </c>
      <c r="D85" s="95" t="s">
        <v>29</v>
      </c>
      <c r="E85" s="95" t="s">
        <v>30</v>
      </c>
      <c r="F85" s="96" t="s">
        <v>31</v>
      </c>
      <c r="H85" s="94" t="s">
        <v>26</v>
      </c>
      <c r="I85" s="95" t="s">
        <v>27</v>
      </c>
      <c r="J85" s="95" t="s">
        <v>28</v>
      </c>
      <c r="K85" s="95" t="s">
        <v>29</v>
      </c>
      <c r="L85" s="95" t="s">
        <v>30</v>
      </c>
      <c r="M85" s="96" t="s">
        <v>31</v>
      </c>
    </row>
    <row r="86" spans="1:13" ht="36.75" customHeight="1" x14ac:dyDescent="0.2">
      <c r="A86" s="97"/>
      <c r="B86" s="98"/>
      <c r="C86" s="98"/>
      <c r="D86" s="98"/>
      <c r="E86" s="98"/>
      <c r="F86" s="99"/>
      <c r="H86" s="97"/>
      <c r="I86" s="98"/>
      <c r="J86" s="98"/>
      <c r="K86" s="98"/>
      <c r="L86" s="98"/>
      <c r="M86" s="99"/>
    </row>
    <row r="87" spans="1:13" ht="36.75" customHeight="1" thickBot="1" x14ac:dyDescent="0.25">
      <c r="A87" s="169" t="s">
        <v>32</v>
      </c>
      <c r="B87" s="170"/>
      <c r="C87" s="170"/>
      <c r="D87" s="170" t="s">
        <v>33</v>
      </c>
      <c r="E87" s="170"/>
      <c r="F87" s="171"/>
      <c r="H87" s="169" t="s">
        <v>32</v>
      </c>
      <c r="I87" s="170"/>
      <c r="J87" s="170"/>
      <c r="K87" s="170" t="s">
        <v>33</v>
      </c>
      <c r="L87" s="170"/>
      <c r="M87" s="171"/>
    </row>
    <row r="88" spans="1:13" ht="14.25" thickTop="1" thickBot="1" x14ac:dyDescent="0.25"/>
    <row r="89" spans="1:13" ht="37.5" customHeight="1" thickTop="1" x14ac:dyDescent="0.2">
      <c r="A89" s="172" t="str">
        <f>úvod!$C$6</f>
        <v>Krajské přebory</v>
      </c>
      <c r="B89" s="173"/>
      <c r="C89" s="173"/>
      <c r="D89" s="173"/>
      <c r="E89" s="173"/>
      <c r="F89" s="174"/>
      <c r="H89" s="172" t="str">
        <f>úvod!$C$6</f>
        <v>Krajské přebory</v>
      </c>
      <c r="I89" s="173"/>
      <c r="J89" s="173"/>
      <c r="K89" s="173"/>
      <c r="L89" s="173"/>
      <c r="M89" s="174"/>
    </row>
    <row r="90" spans="1:13" ht="37.5" customHeight="1" x14ac:dyDescent="0.2">
      <c r="A90" s="175" t="str">
        <f>'Z-singl'!A24</f>
        <v>1.st. U19 - muži Skupina D</v>
      </c>
      <c r="B90" s="176"/>
      <c r="C90" s="176"/>
      <c r="D90" s="176" t="s">
        <v>34</v>
      </c>
      <c r="E90" s="176"/>
      <c r="F90" s="91" t="s">
        <v>45</v>
      </c>
      <c r="H90" s="175" t="str">
        <f>'Z-singl'!A25</f>
        <v>1.st. U19 - muži Skupina D</v>
      </c>
      <c r="I90" s="176"/>
      <c r="J90" s="176"/>
      <c r="K90" s="176" t="s">
        <v>34</v>
      </c>
      <c r="L90" s="176"/>
      <c r="M90" s="91" t="s">
        <v>46</v>
      </c>
    </row>
    <row r="91" spans="1:13" ht="37.5" customHeight="1" x14ac:dyDescent="0.2">
      <c r="A91" s="177" t="str">
        <f>CONCATENATE('Z-singl'!B24," ",'Z-singl'!C24," (",'Z-singl'!D24,")")</f>
        <v>27 Wutka Michal (KST Blansko)</v>
      </c>
      <c r="B91" s="178"/>
      <c r="C91" s="179"/>
      <c r="D91" s="176" t="str">
        <f>CONCATENATE('Z-singl'!E24," ",'Z-singl'!F24," (",'Z-singl'!G24,")")</f>
        <v>0 ---------- ()</v>
      </c>
      <c r="E91" s="176"/>
      <c r="F91" s="180"/>
      <c r="H91" s="177" t="str">
        <f>CONCATENATE('Z-singl'!B25," ",'Z-singl'!C25," (",'Z-singl'!D25,")")</f>
        <v>10 Vincenec Oliver (KST Vyškov)</v>
      </c>
      <c r="I91" s="178"/>
      <c r="J91" s="179"/>
      <c r="K91" s="176" t="str">
        <f>CONCATENATE('Z-singl'!E25," ",'Z-singl'!F25," (",'Z-singl'!G25,")")</f>
        <v>5 Drápal Metoděj (MS Brno)</v>
      </c>
      <c r="L91" s="176"/>
      <c r="M91" s="180"/>
    </row>
    <row r="92" spans="1:13" ht="21" customHeight="1" x14ac:dyDescent="0.2">
      <c r="A92" s="166"/>
      <c r="B92" s="167"/>
      <c r="C92" s="167"/>
      <c r="D92" s="167"/>
      <c r="E92" s="167"/>
      <c r="F92" s="168"/>
      <c r="G92" s="93"/>
      <c r="H92" s="166"/>
      <c r="I92" s="167"/>
      <c r="J92" s="167"/>
      <c r="K92" s="167"/>
      <c r="L92" s="167"/>
      <c r="M92" s="168"/>
    </row>
    <row r="93" spans="1:13" x14ac:dyDescent="0.2">
      <c r="A93" s="94" t="s">
        <v>26</v>
      </c>
      <c r="B93" s="95" t="s">
        <v>27</v>
      </c>
      <c r="C93" s="95" t="s">
        <v>28</v>
      </c>
      <c r="D93" s="95" t="s">
        <v>29</v>
      </c>
      <c r="E93" s="95" t="s">
        <v>30</v>
      </c>
      <c r="F93" s="96" t="s">
        <v>31</v>
      </c>
      <c r="H93" s="94" t="s">
        <v>26</v>
      </c>
      <c r="I93" s="95" t="s">
        <v>27</v>
      </c>
      <c r="J93" s="95" t="s">
        <v>28</v>
      </c>
      <c r="K93" s="95" t="s">
        <v>29</v>
      </c>
      <c r="L93" s="95" t="s">
        <v>30</v>
      </c>
      <c r="M93" s="96" t="s">
        <v>31</v>
      </c>
    </row>
    <row r="94" spans="1:13" ht="36.75" customHeight="1" x14ac:dyDescent="0.2">
      <c r="A94" s="97"/>
      <c r="B94" s="98"/>
      <c r="C94" s="98"/>
      <c r="D94" s="98"/>
      <c r="E94" s="98"/>
      <c r="F94" s="99"/>
      <c r="H94" s="97"/>
      <c r="I94" s="98"/>
      <c r="J94" s="98"/>
      <c r="K94" s="98"/>
      <c r="L94" s="98"/>
      <c r="M94" s="99"/>
    </row>
    <row r="95" spans="1:13" ht="36.75" customHeight="1" thickBot="1" x14ac:dyDescent="0.25">
      <c r="A95" s="169" t="s">
        <v>32</v>
      </c>
      <c r="B95" s="170"/>
      <c r="C95" s="170"/>
      <c r="D95" s="170" t="s">
        <v>33</v>
      </c>
      <c r="E95" s="170"/>
      <c r="F95" s="171"/>
      <c r="H95" s="169" t="s">
        <v>32</v>
      </c>
      <c r="I95" s="170"/>
      <c r="J95" s="170"/>
      <c r="K95" s="170" t="s">
        <v>33</v>
      </c>
      <c r="L95" s="170"/>
      <c r="M95" s="171"/>
    </row>
    <row r="96" spans="1:13" ht="14.25" thickTop="1" thickBot="1" x14ac:dyDescent="0.25"/>
    <row r="97" spans="1:13" ht="36" customHeight="1" thickTop="1" x14ac:dyDescent="0.2">
      <c r="A97" s="172" t="str">
        <f>úvod!$C$6</f>
        <v>Krajské přebory</v>
      </c>
      <c r="B97" s="173"/>
      <c r="C97" s="173"/>
      <c r="D97" s="173"/>
      <c r="E97" s="173"/>
      <c r="F97" s="174"/>
      <c r="H97" s="172" t="str">
        <f>úvod!$C$6</f>
        <v>Krajské přebory</v>
      </c>
      <c r="I97" s="173"/>
      <c r="J97" s="173"/>
      <c r="K97" s="173"/>
      <c r="L97" s="173"/>
      <c r="M97" s="174"/>
    </row>
    <row r="98" spans="1:13" ht="36" customHeight="1" x14ac:dyDescent="0.2">
      <c r="A98" s="175" t="str">
        <f>'Z-singl'!A26</f>
        <v>1.st. U19 - muži Skupina E</v>
      </c>
      <c r="B98" s="176"/>
      <c r="C98" s="176"/>
      <c r="D98" s="176" t="s">
        <v>34</v>
      </c>
      <c r="E98" s="176"/>
      <c r="F98" s="91" t="s">
        <v>41</v>
      </c>
      <c r="H98" s="175" t="str">
        <f>'Z-singl'!A27</f>
        <v>1.st. U19 - muži Skupina E</v>
      </c>
      <c r="I98" s="176"/>
      <c r="J98" s="176"/>
      <c r="K98" s="176" t="s">
        <v>34</v>
      </c>
      <c r="L98" s="176"/>
      <c r="M98" s="91" t="s">
        <v>42</v>
      </c>
    </row>
    <row r="99" spans="1:13" ht="36" customHeight="1" x14ac:dyDescent="0.25">
      <c r="A99" s="177" t="str">
        <f>CONCATENATE('Z-singl'!B26," ",'Z-singl'!C26," (",'Z-singl'!D26,")")</f>
        <v>6 Pařízek Richard (SKST Hodonín)</v>
      </c>
      <c r="B99" s="178"/>
      <c r="C99" s="179"/>
      <c r="D99" s="176" t="str">
        <f>CONCATENATE('Z-singl'!E26," ",'Z-singl'!F26," (",'Z-singl'!G26,")")</f>
        <v>0 ---------- ()</v>
      </c>
      <c r="E99" s="176"/>
      <c r="F99" s="180"/>
      <c r="G99" s="92"/>
      <c r="H99" s="177" t="str">
        <f>CONCATENATE('Z-singl'!B27," ",'Z-singl'!C27," (",'Z-singl'!D27,")")</f>
        <v>25 Hampl Petr (KST Blansko)</v>
      </c>
      <c r="I99" s="178"/>
      <c r="J99" s="179"/>
      <c r="K99" s="176" t="str">
        <f>CONCATENATE('Z-singl'!E27," ",'Z-singl'!F27," (",'Z-singl'!G27,")")</f>
        <v>12 Horníček Lukáš (MS Brno)</v>
      </c>
      <c r="L99" s="176"/>
      <c r="M99" s="180"/>
    </row>
    <row r="100" spans="1:13" ht="21.75" customHeight="1" x14ac:dyDescent="0.2">
      <c r="A100" s="166"/>
      <c r="B100" s="167"/>
      <c r="C100" s="167"/>
      <c r="D100" s="167"/>
      <c r="E100" s="167"/>
      <c r="F100" s="168"/>
      <c r="G100" s="93"/>
      <c r="H100" s="166"/>
      <c r="I100" s="167"/>
      <c r="J100" s="167"/>
      <c r="K100" s="167"/>
      <c r="L100" s="167"/>
      <c r="M100" s="168"/>
    </row>
    <row r="101" spans="1:13" x14ac:dyDescent="0.2">
      <c r="A101" s="94" t="s">
        <v>26</v>
      </c>
      <c r="B101" s="95" t="s">
        <v>27</v>
      </c>
      <c r="C101" s="95" t="s">
        <v>28</v>
      </c>
      <c r="D101" s="95" t="s">
        <v>29</v>
      </c>
      <c r="E101" s="95" t="s">
        <v>30</v>
      </c>
      <c r="F101" s="96" t="s">
        <v>31</v>
      </c>
      <c r="H101" s="94" t="s">
        <v>26</v>
      </c>
      <c r="I101" s="95" t="s">
        <v>27</v>
      </c>
      <c r="J101" s="95" t="s">
        <v>28</v>
      </c>
      <c r="K101" s="95" t="s">
        <v>29</v>
      </c>
      <c r="L101" s="95" t="s">
        <v>30</v>
      </c>
      <c r="M101" s="96" t="s">
        <v>31</v>
      </c>
    </row>
    <row r="102" spans="1:13" ht="36" customHeight="1" x14ac:dyDescent="0.2">
      <c r="A102" s="97"/>
      <c r="B102" s="98"/>
      <c r="C102" s="98"/>
      <c r="D102" s="98"/>
      <c r="E102" s="98"/>
      <c r="F102" s="99"/>
      <c r="H102" s="97"/>
      <c r="I102" s="98"/>
      <c r="J102" s="98"/>
      <c r="K102" s="98"/>
      <c r="L102" s="98"/>
      <c r="M102" s="99"/>
    </row>
    <row r="103" spans="1:13" ht="36" customHeight="1" thickBot="1" x14ac:dyDescent="0.25">
      <c r="A103" s="169" t="s">
        <v>32</v>
      </c>
      <c r="B103" s="170"/>
      <c r="C103" s="170"/>
      <c r="D103" s="170" t="s">
        <v>33</v>
      </c>
      <c r="E103" s="170"/>
      <c r="F103" s="171"/>
      <c r="H103" s="169" t="s">
        <v>32</v>
      </c>
      <c r="I103" s="170"/>
      <c r="J103" s="170"/>
      <c r="K103" s="170" t="s">
        <v>33</v>
      </c>
      <c r="L103" s="170"/>
      <c r="M103" s="171"/>
    </row>
    <row r="104" spans="1:13" ht="18" customHeight="1" thickTop="1" thickBot="1" x14ac:dyDescent="0.25"/>
    <row r="105" spans="1:13" ht="37.5" customHeight="1" thickTop="1" x14ac:dyDescent="0.2">
      <c r="A105" s="172" t="str">
        <f>úvod!$C$6</f>
        <v>Krajské přebory</v>
      </c>
      <c r="B105" s="173"/>
      <c r="C105" s="173"/>
      <c r="D105" s="173"/>
      <c r="E105" s="173"/>
      <c r="F105" s="174"/>
      <c r="H105" s="172" t="str">
        <f>úvod!$C$6</f>
        <v>Krajské přebory</v>
      </c>
      <c r="I105" s="173"/>
      <c r="J105" s="173"/>
      <c r="K105" s="173"/>
      <c r="L105" s="173"/>
      <c r="M105" s="174"/>
    </row>
    <row r="106" spans="1:13" ht="37.5" customHeight="1" x14ac:dyDescent="0.2">
      <c r="A106" s="175" t="str">
        <f>'Z-singl'!A28</f>
        <v>1.st. U19 - muži Skupina E</v>
      </c>
      <c r="B106" s="176"/>
      <c r="C106" s="176"/>
      <c r="D106" s="176" t="s">
        <v>34</v>
      </c>
      <c r="E106" s="176"/>
      <c r="F106" s="91" t="s">
        <v>43</v>
      </c>
      <c r="H106" s="175" t="str">
        <f>'Z-singl'!A29</f>
        <v>1.st. U19 - muži Skupina E</v>
      </c>
      <c r="I106" s="176"/>
      <c r="J106" s="176"/>
      <c r="K106" s="176" t="s">
        <v>34</v>
      </c>
      <c r="L106" s="176"/>
      <c r="M106" s="91" t="s">
        <v>44</v>
      </c>
    </row>
    <row r="107" spans="1:13" ht="37.5" customHeight="1" x14ac:dyDescent="0.2">
      <c r="A107" s="177" t="str">
        <f>CONCATENATE('Z-singl'!B28," ",'Z-singl'!C28," (",'Z-singl'!D28,")")</f>
        <v>0 ---------- ()</v>
      </c>
      <c r="B107" s="178"/>
      <c r="C107" s="179"/>
      <c r="D107" s="176" t="str">
        <f>CONCATENATE('Z-singl'!E28," ",'Z-singl'!F28," (",'Z-singl'!G28,")")</f>
        <v>12 Horníček Lukáš (MS Brno)</v>
      </c>
      <c r="E107" s="176"/>
      <c r="F107" s="180"/>
      <c r="H107" s="177" t="str">
        <f>CONCATENATE('Z-singl'!B29," ",'Z-singl'!C29," (",'Z-singl'!D29,")")</f>
        <v>6 Pařízek Richard (SKST Hodonín)</v>
      </c>
      <c r="I107" s="178"/>
      <c r="J107" s="179"/>
      <c r="K107" s="176" t="str">
        <f>CONCATENATE('Z-singl'!E29," ",'Z-singl'!F29," (",'Z-singl'!G29,")")</f>
        <v>25 Hampl Petr (KST Blansko)</v>
      </c>
      <c r="L107" s="176"/>
      <c r="M107" s="180"/>
    </row>
    <row r="108" spans="1:13" ht="21.75" customHeight="1" x14ac:dyDescent="0.2">
      <c r="A108" s="166"/>
      <c r="B108" s="167"/>
      <c r="C108" s="167"/>
      <c r="D108" s="167"/>
      <c r="E108" s="167"/>
      <c r="F108" s="168"/>
      <c r="G108" s="93"/>
      <c r="H108" s="166"/>
      <c r="I108" s="167"/>
      <c r="J108" s="167"/>
      <c r="K108" s="167"/>
      <c r="L108" s="167"/>
      <c r="M108" s="168"/>
    </row>
    <row r="109" spans="1:13" x14ac:dyDescent="0.2">
      <c r="A109" s="94" t="s">
        <v>26</v>
      </c>
      <c r="B109" s="95" t="s">
        <v>27</v>
      </c>
      <c r="C109" s="95" t="s">
        <v>28</v>
      </c>
      <c r="D109" s="95" t="s">
        <v>29</v>
      </c>
      <c r="E109" s="95" t="s">
        <v>30</v>
      </c>
      <c r="F109" s="96" t="s">
        <v>31</v>
      </c>
      <c r="H109" s="94" t="s">
        <v>26</v>
      </c>
      <c r="I109" s="95" t="s">
        <v>27</v>
      </c>
      <c r="J109" s="95" t="s">
        <v>28</v>
      </c>
      <c r="K109" s="95" t="s">
        <v>29</v>
      </c>
      <c r="L109" s="95" t="s">
        <v>30</v>
      </c>
      <c r="M109" s="96" t="s">
        <v>31</v>
      </c>
    </row>
    <row r="110" spans="1:13" ht="36" customHeight="1" x14ac:dyDescent="0.2">
      <c r="A110" s="97"/>
      <c r="B110" s="98"/>
      <c r="C110" s="98"/>
      <c r="D110" s="98"/>
      <c r="E110" s="98"/>
      <c r="F110" s="99"/>
      <c r="H110" s="97"/>
      <c r="I110" s="98"/>
      <c r="J110" s="98"/>
      <c r="K110" s="98"/>
      <c r="L110" s="98"/>
      <c r="M110" s="99"/>
    </row>
    <row r="111" spans="1:13" ht="36" customHeight="1" thickBot="1" x14ac:dyDescent="0.25">
      <c r="A111" s="169" t="s">
        <v>32</v>
      </c>
      <c r="B111" s="170"/>
      <c r="C111" s="170"/>
      <c r="D111" s="170" t="s">
        <v>33</v>
      </c>
      <c r="E111" s="170"/>
      <c r="F111" s="171"/>
      <c r="H111" s="169" t="s">
        <v>32</v>
      </c>
      <c r="I111" s="170"/>
      <c r="J111" s="170"/>
      <c r="K111" s="170" t="s">
        <v>33</v>
      </c>
      <c r="L111" s="170"/>
      <c r="M111" s="171"/>
    </row>
    <row r="112" spans="1:13" ht="18.75" customHeight="1" thickTop="1" thickBot="1" x14ac:dyDescent="0.25"/>
    <row r="113" spans="1:13" ht="37.5" customHeight="1" thickTop="1" x14ac:dyDescent="0.2">
      <c r="A113" s="172" t="str">
        <f>úvod!$C$6</f>
        <v>Krajské přebory</v>
      </c>
      <c r="B113" s="173"/>
      <c r="C113" s="173"/>
      <c r="D113" s="173"/>
      <c r="E113" s="173"/>
      <c r="F113" s="174"/>
      <c r="H113" s="172" t="str">
        <f>úvod!$C$6</f>
        <v>Krajské přebory</v>
      </c>
      <c r="I113" s="173"/>
      <c r="J113" s="173"/>
      <c r="K113" s="173"/>
      <c r="L113" s="173"/>
      <c r="M113" s="174"/>
    </row>
    <row r="114" spans="1:13" ht="37.5" customHeight="1" x14ac:dyDescent="0.2">
      <c r="A114" s="175" t="str">
        <f>'Z-singl'!A30</f>
        <v>1.st. U19 - muži Skupina E</v>
      </c>
      <c r="B114" s="176"/>
      <c r="C114" s="176"/>
      <c r="D114" s="176" t="s">
        <v>34</v>
      </c>
      <c r="E114" s="176"/>
      <c r="F114" s="91" t="s">
        <v>45</v>
      </c>
      <c r="H114" s="175" t="str">
        <f>'Z-singl'!A31</f>
        <v>1.st. U19 - muži Skupina E</v>
      </c>
      <c r="I114" s="176"/>
      <c r="J114" s="176"/>
      <c r="K114" s="176" t="s">
        <v>34</v>
      </c>
      <c r="L114" s="176"/>
      <c r="M114" s="91" t="s">
        <v>46</v>
      </c>
    </row>
    <row r="115" spans="1:13" ht="37.5" customHeight="1" x14ac:dyDescent="0.2">
      <c r="A115" s="177" t="str">
        <f>CONCATENATE('Z-singl'!B30," ",'Z-singl'!C30," (",'Z-singl'!D30,")")</f>
        <v>25 Hampl Petr (KST Blansko)</v>
      </c>
      <c r="B115" s="178"/>
      <c r="C115" s="179"/>
      <c r="D115" s="176" t="str">
        <f>CONCATENATE('Z-singl'!E30," ",'Z-singl'!F30," (",'Z-singl'!G30,")")</f>
        <v>0 ---------- ()</v>
      </c>
      <c r="E115" s="176"/>
      <c r="F115" s="180"/>
      <c r="H115" s="177" t="str">
        <f>CONCATENATE('Z-singl'!B31," ",'Z-singl'!C31," (",'Z-singl'!D31,")")</f>
        <v>12 Horníček Lukáš (MS Brno)</v>
      </c>
      <c r="I115" s="178"/>
      <c r="J115" s="179"/>
      <c r="K115" s="176" t="str">
        <f>CONCATENATE('Z-singl'!E31," ",'Z-singl'!F31," (",'Z-singl'!G31,")")</f>
        <v>6 Pařízek Richard (SKST Hodonín)</v>
      </c>
      <c r="L115" s="176"/>
      <c r="M115" s="180"/>
    </row>
    <row r="116" spans="1:13" ht="20.25" customHeight="1" x14ac:dyDescent="0.2">
      <c r="A116" s="166"/>
      <c r="B116" s="167"/>
      <c r="C116" s="167"/>
      <c r="D116" s="167"/>
      <c r="E116" s="167"/>
      <c r="F116" s="168"/>
      <c r="G116" s="93"/>
      <c r="H116" s="166"/>
      <c r="I116" s="167"/>
      <c r="J116" s="167"/>
      <c r="K116" s="167"/>
      <c r="L116" s="167"/>
      <c r="M116" s="168"/>
    </row>
    <row r="117" spans="1:13" x14ac:dyDescent="0.2">
      <c r="A117" s="94" t="s">
        <v>26</v>
      </c>
      <c r="B117" s="95" t="s">
        <v>27</v>
      </c>
      <c r="C117" s="95" t="s">
        <v>28</v>
      </c>
      <c r="D117" s="95" t="s">
        <v>29</v>
      </c>
      <c r="E117" s="95" t="s">
        <v>30</v>
      </c>
      <c r="F117" s="96" t="s">
        <v>31</v>
      </c>
      <c r="H117" s="94" t="s">
        <v>26</v>
      </c>
      <c r="I117" s="95" t="s">
        <v>27</v>
      </c>
      <c r="J117" s="95" t="s">
        <v>28</v>
      </c>
      <c r="K117" s="95" t="s">
        <v>29</v>
      </c>
      <c r="L117" s="95" t="s">
        <v>30</v>
      </c>
      <c r="M117" s="96" t="s">
        <v>31</v>
      </c>
    </row>
    <row r="118" spans="1:13" ht="36" customHeight="1" x14ac:dyDescent="0.2">
      <c r="A118" s="97"/>
      <c r="B118" s="98"/>
      <c r="C118" s="98"/>
      <c r="D118" s="98"/>
      <c r="E118" s="98"/>
      <c r="F118" s="99"/>
      <c r="H118" s="97"/>
      <c r="I118" s="98"/>
      <c r="J118" s="98"/>
      <c r="K118" s="98"/>
      <c r="L118" s="98"/>
      <c r="M118" s="99"/>
    </row>
    <row r="119" spans="1:13" ht="36" customHeight="1" thickBot="1" x14ac:dyDescent="0.25">
      <c r="A119" s="169" t="s">
        <v>32</v>
      </c>
      <c r="B119" s="170"/>
      <c r="C119" s="170"/>
      <c r="D119" s="170" t="s">
        <v>33</v>
      </c>
      <c r="E119" s="170"/>
      <c r="F119" s="171"/>
      <c r="H119" s="169" t="s">
        <v>32</v>
      </c>
      <c r="I119" s="170"/>
      <c r="J119" s="170"/>
      <c r="K119" s="170" t="s">
        <v>33</v>
      </c>
      <c r="L119" s="170"/>
      <c r="M119" s="171"/>
    </row>
    <row r="120" spans="1:13" ht="12" customHeight="1" thickTop="1" thickBot="1" x14ac:dyDescent="0.25"/>
    <row r="121" spans="1:13" ht="36" customHeight="1" thickTop="1" x14ac:dyDescent="0.2">
      <c r="A121" s="172" t="str">
        <f>úvod!$C$6</f>
        <v>Krajské přebory</v>
      </c>
      <c r="B121" s="173"/>
      <c r="C121" s="173"/>
      <c r="D121" s="173"/>
      <c r="E121" s="173"/>
      <c r="F121" s="174"/>
      <c r="H121" s="172" t="str">
        <f>úvod!$C$6</f>
        <v>Krajské přebory</v>
      </c>
      <c r="I121" s="173"/>
      <c r="J121" s="173"/>
      <c r="K121" s="173"/>
      <c r="L121" s="173"/>
      <c r="M121" s="174"/>
    </row>
    <row r="122" spans="1:13" ht="36" customHeight="1" x14ac:dyDescent="0.2">
      <c r="A122" s="175" t="str">
        <f>'Z-singl'!A32</f>
        <v>1.st. U19 - muži Skupina F</v>
      </c>
      <c r="B122" s="176"/>
      <c r="C122" s="176"/>
      <c r="D122" s="176" t="s">
        <v>34</v>
      </c>
      <c r="E122" s="176"/>
      <c r="F122" s="91" t="s">
        <v>41</v>
      </c>
      <c r="H122" s="175" t="str">
        <f>'Z-singl'!A33</f>
        <v>1.st. U19 - muži Skupina F</v>
      </c>
      <c r="I122" s="176"/>
      <c r="J122" s="176"/>
      <c r="K122" s="176" t="s">
        <v>34</v>
      </c>
      <c r="L122" s="176"/>
      <c r="M122" s="91" t="s">
        <v>42</v>
      </c>
    </row>
    <row r="123" spans="1:13" ht="36" customHeight="1" x14ac:dyDescent="0.25">
      <c r="A123" s="177" t="str">
        <f>CONCATENATE('Z-singl'!B32," ",'Z-singl'!C32," (",'Z-singl'!D32,")")</f>
        <v>7 Němeček Radek (MSK Břeclav)</v>
      </c>
      <c r="B123" s="178"/>
      <c r="C123" s="179"/>
      <c r="D123" s="176" t="str">
        <f>CONCATENATE('Z-singl'!E32," ",'Z-singl'!F32," (",'Z-singl'!G32,")")</f>
        <v>0 ---------- ()</v>
      </c>
      <c r="E123" s="176"/>
      <c r="F123" s="180"/>
      <c r="G123" s="92"/>
      <c r="H123" s="177" t="str">
        <f>CONCATENATE('Z-singl'!B33," ",'Z-singl'!C33," (",'Z-singl'!D33,")")</f>
        <v>26 Vrtěl Maxim (KST Blansko)</v>
      </c>
      <c r="I123" s="178"/>
      <c r="J123" s="179"/>
      <c r="K123" s="176" t="str">
        <f>CONCATENATE('Z-singl'!E33," ",'Z-singl'!F33," (",'Z-singl'!G33,")")</f>
        <v>16 Šimeček Robin (TJ Holásky)</v>
      </c>
      <c r="L123" s="176"/>
      <c r="M123" s="180"/>
    </row>
    <row r="124" spans="1:13" ht="21.75" customHeight="1" x14ac:dyDescent="0.2">
      <c r="A124" s="166"/>
      <c r="B124" s="167"/>
      <c r="C124" s="167"/>
      <c r="D124" s="167"/>
      <c r="E124" s="167"/>
      <c r="F124" s="168"/>
      <c r="G124" s="93"/>
      <c r="H124" s="166"/>
      <c r="I124" s="167"/>
      <c r="J124" s="167"/>
      <c r="K124" s="167"/>
      <c r="L124" s="167"/>
      <c r="M124" s="168"/>
    </row>
    <row r="125" spans="1:13" x14ac:dyDescent="0.2">
      <c r="A125" s="94" t="s">
        <v>26</v>
      </c>
      <c r="B125" s="95" t="s">
        <v>27</v>
      </c>
      <c r="C125" s="95" t="s">
        <v>28</v>
      </c>
      <c r="D125" s="95" t="s">
        <v>29</v>
      </c>
      <c r="E125" s="95" t="s">
        <v>30</v>
      </c>
      <c r="F125" s="96" t="s">
        <v>31</v>
      </c>
      <c r="H125" s="94" t="s">
        <v>26</v>
      </c>
      <c r="I125" s="95" t="s">
        <v>27</v>
      </c>
      <c r="J125" s="95" t="s">
        <v>28</v>
      </c>
      <c r="K125" s="95" t="s">
        <v>29</v>
      </c>
      <c r="L125" s="95" t="s">
        <v>30</v>
      </c>
      <c r="M125" s="96" t="s">
        <v>31</v>
      </c>
    </row>
    <row r="126" spans="1:13" ht="36" customHeight="1" x14ac:dyDescent="0.2">
      <c r="A126" s="97"/>
      <c r="B126" s="98"/>
      <c r="C126" s="98"/>
      <c r="D126" s="98"/>
      <c r="E126" s="98"/>
      <c r="F126" s="99"/>
      <c r="H126" s="97"/>
      <c r="I126" s="98"/>
      <c r="J126" s="98"/>
      <c r="K126" s="98"/>
      <c r="L126" s="98"/>
      <c r="M126" s="99"/>
    </row>
    <row r="127" spans="1:13" ht="36" customHeight="1" thickBot="1" x14ac:dyDescent="0.25">
      <c r="A127" s="169" t="s">
        <v>32</v>
      </c>
      <c r="B127" s="170"/>
      <c r="C127" s="170"/>
      <c r="D127" s="170" t="s">
        <v>33</v>
      </c>
      <c r="E127" s="170"/>
      <c r="F127" s="171"/>
      <c r="H127" s="169" t="s">
        <v>32</v>
      </c>
      <c r="I127" s="170"/>
      <c r="J127" s="170"/>
      <c r="K127" s="170" t="s">
        <v>33</v>
      </c>
      <c r="L127" s="170"/>
      <c r="M127" s="171"/>
    </row>
    <row r="128" spans="1:13" ht="18" customHeight="1" thickTop="1" thickBot="1" x14ac:dyDescent="0.25"/>
    <row r="129" spans="1:13" ht="37.5" customHeight="1" thickTop="1" x14ac:dyDescent="0.2">
      <c r="A129" s="172" t="str">
        <f>úvod!$C$6</f>
        <v>Krajské přebory</v>
      </c>
      <c r="B129" s="173"/>
      <c r="C129" s="173"/>
      <c r="D129" s="173"/>
      <c r="E129" s="173"/>
      <c r="F129" s="174"/>
      <c r="H129" s="172" t="str">
        <f>úvod!$C$6</f>
        <v>Krajské přebory</v>
      </c>
      <c r="I129" s="173"/>
      <c r="J129" s="173"/>
      <c r="K129" s="173"/>
      <c r="L129" s="173"/>
      <c r="M129" s="174"/>
    </row>
    <row r="130" spans="1:13" ht="37.5" customHeight="1" x14ac:dyDescent="0.2">
      <c r="A130" s="175" t="str">
        <f>'Z-singl'!A34</f>
        <v>1.st. U19 - muži Skupina F</v>
      </c>
      <c r="B130" s="176"/>
      <c r="C130" s="176"/>
      <c r="D130" s="176" t="s">
        <v>34</v>
      </c>
      <c r="E130" s="176"/>
      <c r="F130" s="91" t="s">
        <v>43</v>
      </c>
      <c r="H130" s="175" t="str">
        <f>'Z-singl'!A35</f>
        <v>1.st. U19 - muži Skupina F</v>
      </c>
      <c r="I130" s="176"/>
      <c r="J130" s="176"/>
      <c r="K130" s="176" t="s">
        <v>34</v>
      </c>
      <c r="L130" s="176"/>
      <c r="M130" s="91" t="s">
        <v>44</v>
      </c>
    </row>
    <row r="131" spans="1:13" ht="37.5" customHeight="1" x14ac:dyDescent="0.2">
      <c r="A131" s="177" t="str">
        <f>CONCATENATE('Z-singl'!B34," ",'Z-singl'!C34," (",'Z-singl'!D34,")")</f>
        <v>0 ---------- ()</v>
      </c>
      <c r="B131" s="178"/>
      <c r="C131" s="179"/>
      <c r="D131" s="176" t="str">
        <f>CONCATENATE('Z-singl'!E34," ",'Z-singl'!F34," (",'Z-singl'!G34,")")</f>
        <v>16 Šimeček Robin (TJ Holásky)</v>
      </c>
      <c r="E131" s="176"/>
      <c r="F131" s="180"/>
      <c r="H131" s="177" t="str">
        <f>CONCATENATE('Z-singl'!B35," ",'Z-singl'!C35," (",'Z-singl'!D35,")")</f>
        <v>7 Němeček Radek (MSK Břeclav)</v>
      </c>
      <c r="I131" s="178"/>
      <c r="J131" s="179"/>
      <c r="K131" s="176" t="str">
        <f>CONCATENATE('Z-singl'!E35," ",'Z-singl'!F35," (",'Z-singl'!G35,")")</f>
        <v>26 Vrtěl Maxim (KST Blansko)</v>
      </c>
      <c r="L131" s="176"/>
      <c r="M131" s="180"/>
    </row>
    <row r="132" spans="1:13" ht="21.75" customHeight="1" x14ac:dyDescent="0.2">
      <c r="A132" s="166"/>
      <c r="B132" s="167"/>
      <c r="C132" s="167"/>
      <c r="D132" s="167"/>
      <c r="E132" s="167"/>
      <c r="F132" s="168"/>
      <c r="G132" s="93"/>
      <c r="H132" s="166"/>
      <c r="I132" s="167"/>
      <c r="J132" s="167"/>
      <c r="K132" s="167"/>
      <c r="L132" s="167"/>
      <c r="M132" s="168"/>
    </row>
    <row r="133" spans="1:13" x14ac:dyDescent="0.2">
      <c r="A133" s="94" t="s">
        <v>26</v>
      </c>
      <c r="B133" s="95" t="s">
        <v>27</v>
      </c>
      <c r="C133" s="95" t="s">
        <v>28</v>
      </c>
      <c r="D133" s="95" t="s">
        <v>29</v>
      </c>
      <c r="E133" s="95" t="s">
        <v>30</v>
      </c>
      <c r="F133" s="96" t="s">
        <v>31</v>
      </c>
      <c r="H133" s="94" t="s">
        <v>26</v>
      </c>
      <c r="I133" s="95" t="s">
        <v>27</v>
      </c>
      <c r="J133" s="95" t="s">
        <v>28</v>
      </c>
      <c r="K133" s="95" t="s">
        <v>29</v>
      </c>
      <c r="L133" s="95" t="s">
        <v>30</v>
      </c>
      <c r="M133" s="96" t="s">
        <v>31</v>
      </c>
    </row>
    <row r="134" spans="1:13" ht="36" customHeight="1" x14ac:dyDescent="0.2">
      <c r="A134" s="97"/>
      <c r="B134" s="98"/>
      <c r="C134" s="98"/>
      <c r="D134" s="98"/>
      <c r="E134" s="98"/>
      <c r="F134" s="99"/>
      <c r="H134" s="97"/>
      <c r="I134" s="98"/>
      <c r="J134" s="98"/>
      <c r="K134" s="98"/>
      <c r="L134" s="98"/>
      <c r="M134" s="99"/>
    </row>
    <row r="135" spans="1:13" ht="36" customHeight="1" thickBot="1" x14ac:dyDescent="0.25">
      <c r="A135" s="169" t="s">
        <v>32</v>
      </c>
      <c r="B135" s="170"/>
      <c r="C135" s="170"/>
      <c r="D135" s="170" t="s">
        <v>33</v>
      </c>
      <c r="E135" s="170"/>
      <c r="F135" s="171"/>
      <c r="H135" s="169" t="s">
        <v>32</v>
      </c>
      <c r="I135" s="170"/>
      <c r="J135" s="170"/>
      <c r="K135" s="170" t="s">
        <v>33</v>
      </c>
      <c r="L135" s="170"/>
      <c r="M135" s="171"/>
    </row>
    <row r="136" spans="1:13" ht="18.75" customHeight="1" thickTop="1" thickBot="1" x14ac:dyDescent="0.25"/>
    <row r="137" spans="1:13" ht="37.5" customHeight="1" thickTop="1" x14ac:dyDescent="0.2">
      <c r="A137" s="172" t="str">
        <f>úvod!$C$6</f>
        <v>Krajské přebory</v>
      </c>
      <c r="B137" s="173"/>
      <c r="C137" s="173"/>
      <c r="D137" s="173"/>
      <c r="E137" s="173"/>
      <c r="F137" s="174"/>
      <c r="H137" s="172" t="str">
        <f>úvod!$C$6</f>
        <v>Krajské přebory</v>
      </c>
      <c r="I137" s="173"/>
      <c r="J137" s="173"/>
      <c r="K137" s="173"/>
      <c r="L137" s="173"/>
      <c r="M137" s="174"/>
    </row>
    <row r="138" spans="1:13" ht="37.5" customHeight="1" x14ac:dyDescent="0.2">
      <c r="A138" s="175" t="str">
        <f>'Z-singl'!A36</f>
        <v>1.st. U19 - muži Skupina F</v>
      </c>
      <c r="B138" s="176"/>
      <c r="C138" s="176"/>
      <c r="D138" s="176" t="s">
        <v>34</v>
      </c>
      <c r="E138" s="176"/>
      <c r="F138" s="91" t="s">
        <v>45</v>
      </c>
      <c r="H138" s="175" t="str">
        <f>'Z-singl'!A37</f>
        <v>1.st. U19 - muži Skupina F</v>
      </c>
      <c r="I138" s="176"/>
      <c r="J138" s="176"/>
      <c r="K138" s="176" t="s">
        <v>34</v>
      </c>
      <c r="L138" s="176"/>
      <c r="M138" s="91" t="s">
        <v>46</v>
      </c>
    </row>
    <row r="139" spans="1:13" ht="37.5" customHeight="1" x14ac:dyDescent="0.2">
      <c r="A139" s="177" t="str">
        <f>CONCATENATE('Z-singl'!B36," ",'Z-singl'!C36," (",'Z-singl'!D36,")")</f>
        <v>26 Vrtěl Maxim (KST Blansko)</v>
      </c>
      <c r="B139" s="178"/>
      <c r="C139" s="179"/>
      <c r="D139" s="176" t="str">
        <f>CONCATENATE('Z-singl'!E36," ",'Z-singl'!F36," (",'Z-singl'!G36,")")</f>
        <v>0 ---------- ()</v>
      </c>
      <c r="E139" s="176"/>
      <c r="F139" s="180"/>
      <c r="H139" s="177" t="str">
        <f>CONCATENATE('Z-singl'!B37," ",'Z-singl'!C37," (",'Z-singl'!D37,")")</f>
        <v>16 Šimeček Robin (TJ Holásky)</v>
      </c>
      <c r="I139" s="178"/>
      <c r="J139" s="179"/>
      <c r="K139" s="176" t="str">
        <f>CONCATENATE('Z-singl'!E37," ",'Z-singl'!F37," (",'Z-singl'!G37,")")</f>
        <v>7 Němeček Radek (MSK Břeclav)</v>
      </c>
      <c r="L139" s="176"/>
      <c r="M139" s="180"/>
    </row>
    <row r="140" spans="1:13" ht="20.25" customHeight="1" x14ac:dyDescent="0.2">
      <c r="A140" s="166"/>
      <c r="B140" s="167"/>
      <c r="C140" s="167"/>
      <c r="D140" s="167"/>
      <c r="E140" s="167"/>
      <c r="F140" s="168"/>
      <c r="G140" s="93"/>
      <c r="H140" s="166"/>
      <c r="I140" s="167"/>
      <c r="J140" s="167"/>
      <c r="K140" s="167"/>
      <c r="L140" s="167"/>
      <c r="M140" s="168"/>
    </row>
    <row r="141" spans="1:13" x14ac:dyDescent="0.2">
      <c r="A141" s="94" t="s">
        <v>26</v>
      </c>
      <c r="B141" s="95" t="s">
        <v>27</v>
      </c>
      <c r="C141" s="95" t="s">
        <v>28</v>
      </c>
      <c r="D141" s="95" t="s">
        <v>29</v>
      </c>
      <c r="E141" s="95" t="s">
        <v>30</v>
      </c>
      <c r="F141" s="96" t="s">
        <v>31</v>
      </c>
      <c r="H141" s="94" t="s">
        <v>26</v>
      </c>
      <c r="I141" s="95" t="s">
        <v>27</v>
      </c>
      <c r="J141" s="95" t="s">
        <v>28</v>
      </c>
      <c r="K141" s="95" t="s">
        <v>29</v>
      </c>
      <c r="L141" s="95" t="s">
        <v>30</v>
      </c>
      <c r="M141" s="96" t="s">
        <v>31</v>
      </c>
    </row>
    <row r="142" spans="1:13" ht="36" customHeight="1" x14ac:dyDescent="0.2">
      <c r="A142" s="97"/>
      <c r="B142" s="98"/>
      <c r="C142" s="98"/>
      <c r="D142" s="98"/>
      <c r="E142" s="98"/>
      <c r="F142" s="99"/>
      <c r="H142" s="97"/>
      <c r="I142" s="98"/>
      <c r="J142" s="98"/>
      <c r="K142" s="98"/>
      <c r="L142" s="98"/>
      <c r="M142" s="99"/>
    </row>
    <row r="143" spans="1:13" ht="36" customHeight="1" thickBot="1" x14ac:dyDescent="0.25">
      <c r="A143" s="169" t="s">
        <v>32</v>
      </c>
      <c r="B143" s="170"/>
      <c r="C143" s="170"/>
      <c r="D143" s="170" t="s">
        <v>33</v>
      </c>
      <c r="E143" s="170"/>
      <c r="F143" s="171"/>
      <c r="H143" s="169" t="s">
        <v>32</v>
      </c>
      <c r="I143" s="170"/>
      <c r="J143" s="170"/>
      <c r="K143" s="170" t="s">
        <v>33</v>
      </c>
      <c r="L143" s="170"/>
      <c r="M143" s="171"/>
    </row>
    <row r="144" spans="1:13" ht="12" customHeight="1" thickTop="1" thickBot="1" x14ac:dyDescent="0.25"/>
    <row r="145" spans="1:13" ht="36" customHeight="1" thickTop="1" x14ac:dyDescent="0.2">
      <c r="A145" s="172" t="str">
        <f>úvod!$C$6</f>
        <v>Krajské přebory</v>
      </c>
      <c r="B145" s="173"/>
      <c r="C145" s="173"/>
      <c r="D145" s="173"/>
      <c r="E145" s="173"/>
      <c r="F145" s="174"/>
      <c r="H145" s="172" t="str">
        <f>úvod!$C$6</f>
        <v>Krajské přebory</v>
      </c>
      <c r="I145" s="173"/>
      <c r="J145" s="173"/>
      <c r="K145" s="173"/>
      <c r="L145" s="173"/>
      <c r="M145" s="174"/>
    </row>
    <row r="146" spans="1:13" ht="36" customHeight="1" x14ac:dyDescent="0.2">
      <c r="A146" s="175" t="str">
        <f>'Z-singl'!A38</f>
        <v>1.st. U19 - muži Skupina G</v>
      </c>
      <c r="B146" s="176"/>
      <c r="C146" s="176"/>
      <c r="D146" s="176" t="s">
        <v>34</v>
      </c>
      <c r="E146" s="176"/>
      <c r="F146" s="91" t="s">
        <v>41</v>
      </c>
      <c r="H146" s="175" t="str">
        <f>'Z-singl'!A39</f>
        <v>1.st. U19 - muži Skupina G</v>
      </c>
      <c r="I146" s="176"/>
      <c r="J146" s="176"/>
      <c r="K146" s="176" t="s">
        <v>34</v>
      </c>
      <c r="L146" s="176"/>
      <c r="M146" s="91" t="s">
        <v>42</v>
      </c>
    </row>
    <row r="147" spans="1:13" ht="36" customHeight="1" x14ac:dyDescent="0.25">
      <c r="A147" s="177" t="str">
        <f>CONCATENATE('Z-singl'!B38," ",'Z-singl'!C38," (",'Z-singl'!D38,")")</f>
        <v>8 Pokorný Martin (KST Blansko)</v>
      </c>
      <c r="B147" s="178"/>
      <c r="C147" s="179"/>
      <c r="D147" s="176" t="str">
        <f>CONCATENATE('Z-singl'!E38," ",'Z-singl'!F38," (",'Z-singl'!G38,")")</f>
        <v>0 ---------- ()</v>
      </c>
      <c r="E147" s="176"/>
      <c r="F147" s="180"/>
      <c r="G147" s="92"/>
      <c r="H147" s="177" t="str">
        <f>CONCATENATE('Z-singl'!B39," ",'Z-singl'!C39," (",'Z-singl'!D39,")")</f>
        <v>19 Chromník Martin (STP Mikulov)</v>
      </c>
      <c r="I147" s="178"/>
      <c r="J147" s="179"/>
      <c r="K147" s="176" t="str">
        <f>CONCATENATE('Z-singl'!E39," ",'Z-singl'!F39," (",'Z-singl'!G39,")")</f>
        <v>13 Havránek Ondřej (MS Brno)</v>
      </c>
      <c r="L147" s="176"/>
      <c r="M147" s="180"/>
    </row>
    <row r="148" spans="1:13" ht="21.75" customHeight="1" x14ac:dyDescent="0.2">
      <c r="A148" s="166"/>
      <c r="B148" s="167"/>
      <c r="C148" s="167"/>
      <c r="D148" s="167"/>
      <c r="E148" s="167"/>
      <c r="F148" s="168"/>
      <c r="G148" s="93"/>
      <c r="H148" s="166"/>
      <c r="I148" s="167"/>
      <c r="J148" s="167"/>
      <c r="K148" s="167"/>
      <c r="L148" s="167"/>
      <c r="M148" s="168"/>
    </row>
    <row r="149" spans="1:13" x14ac:dyDescent="0.2">
      <c r="A149" s="94" t="s">
        <v>26</v>
      </c>
      <c r="B149" s="95" t="s">
        <v>27</v>
      </c>
      <c r="C149" s="95" t="s">
        <v>28</v>
      </c>
      <c r="D149" s="95" t="s">
        <v>29</v>
      </c>
      <c r="E149" s="95" t="s">
        <v>30</v>
      </c>
      <c r="F149" s="96" t="s">
        <v>31</v>
      </c>
      <c r="H149" s="94" t="s">
        <v>26</v>
      </c>
      <c r="I149" s="95" t="s">
        <v>27</v>
      </c>
      <c r="J149" s="95" t="s">
        <v>28</v>
      </c>
      <c r="K149" s="95" t="s">
        <v>29</v>
      </c>
      <c r="L149" s="95" t="s">
        <v>30</v>
      </c>
      <c r="M149" s="96" t="s">
        <v>31</v>
      </c>
    </row>
    <row r="150" spans="1:13" ht="36" customHeight="1" x14ac:dyDescent="0.2">
      <c r="A150" s="97"/>
      <c r="B150" s="98"/>
      <c r="C150" s="98"/>
      <c r="D150" s="98"/>
      <c r="E150" s="98"/>
      <c r="F150" s="99"/>
      <c r="H150" s="97"/>
      <c r="I150" s="98"/>
      <c r="J150" s="98"/>
      <c r="K150" s="98"/>
      <c r="L150" s="98"/>
      <c r="M150" s="99"/>
    </row>
    <row r="151" spans="1:13" ht="36" customHeight="1" thickBot="1" x14ac:dyDescent="0.25">
      <c r="A151" s="169" t="s">
        <v>32</v>
      </c>
      <c r="B151" s="170"/>
      <c r="C151" s="170"/>
      <c r="D151" s="170" t="s">
        <v>33</v>
      </c>
      <c r="E151" s="170"/>
      <c r="F151" s="171"/>
      <c r="H151" s="169" t="s">
        <v>32</v>
      </c>
      <c r="I151" s="170"/>
      <c r="J151" s="170"/>
      <c r="K151" s="170" t="s">
        <v>33</v>
      </c>
      <c r="L151" s="170"/>
      <c r="M151" s="171"/>
    </row>
    <row r="152" spans="1:13" ht="18" customHeight="1" thickTop="1" thickBot="1" x14ac:dyDescent="0.25"/>
    <row r="153" spans="1:13" ht="37.5" customHeight="1" thickTop="1" x14ac:dyDescent="0.2">
      <c r="A153" s="172" t="str">
        <f>úvod!$C$6</f>
        <v>Krajské přebory</v>
      </c>
      <c r="B153" s="173"/>
      <c r="C153" s="173"/>
      <c r="D153" s="173"/>
      <c r="E153" s="173"/>
      <c r="F153" s="174"/>
      <c r="H153" s="172" t="str">
        <f>úvod!$C$6</f>
        <v>Krajské přebory</v>
      </c>
      <c r="I153" s="173"/>
      <c r="J153" s="173"/>
      <c r="K153" s="173"/>
      <c r="L153" s="173"/>
      <c r="M153" s="174"/>
    </row>
    <row r="154" spans="1:13" ht="37.5" customHeight="1" x14ac:dyDescent="0.2">
      <c r="A154" s="175" t="str">
        <f>'Z-singl'!A40</f>
        <v>1.st. U19 - muži Skupina G</v>
      </c>
      <c r="B154" s="176"/>
      <c r="C154" s="176"/>
      <c r="D154" s="176" t="s">
        <v>34</v>
      </c>
      <c r="E154" s="176"/>
      <c r="F154" s="91" t="s">
        <v>43</v>
      </c>
      <c r="H154" s="175" t="str">
        <f>'Z-singl'!A41</f>
        <v>1.st. U19 - muži Skupina G</v>
      </c>
      <c r="I154" s="176"/>
      <c r="J154" s="176"/>
      <c r="K154" s="176" t="s">
        <v>34</v>
      </c>
      <c r="L154" s="176"/>
      <c r="M154" s="91" t="s">
        <v>44</v>
      </c>
    </row>
    <row r="155" spans="1:13" ht="37.5" customHeight="1" x14ac:dyDescent="0.2">
      <c r="A155" s="177" t="str">
        <f>CONCATENATE('Z-singl'!B40," ",'Z-singl'!C40," (",'Z-singl'!D40,")")</f>
        <v>0 ---------- ()</v>
      </c>
      <c r="B155" s="178"/>
      <c r="C155" s="179"/>
      <c r="D155" s="176" t="str">
        <f>CONCATENATE('Z-singl'!E40," ",'Z-singl'!F40," (",'Z-singl'!G40,")")</f>
        <v>13 Havránek Ondřej (MS Brno)</v>
      </c>
      <c r="E155" s="176"/>
      <c r="F155" s="180"/>
      <c r="H155" s="177" t="str">
        <f>CONCATENATE('Z-singl'!B41," ",'Z-singl'!C41," (",'Z-singl'!D41,")")</f>
        <v>8 Pokorný Martin (KST Blansko)</v>
      </c>
      <c r="I155" s="178"/>
      <c r="J155" s="179"/>
      <c r="K155" s="176" t="str">
        <f>CONCATENATE('Z-singl'!E41," ",'Z-singl'!F41," (",'Z-singl'!G41,")")</f>
        <v>19 Chromník Martin (STP Mikulov)</v>
      </c>
      <c r="L155" s="176"/>
      <c r="M155" s="180"/>
    </row>
    <row r="156" spans="1:13" ht="21.75" customHeight="1" x14ac:dyDescent="0.2">
      <c r="A156" s="166"/>
      <c r="B156" s="167"/>
      <c r="C156" s="167"/>
      <c r="D156" s="167"/>
      <c r="E156" s="167"/>
      <c r="F156" s="168"/>
      <c r="G156" s="93"/>
      <c r="H156" s="166"/>
      <c r="I156" s="167"/>
      <c r="J156" s="167"/>
      <c r="K156" s="167"/>
      <c r="L156" s="167"/>
      <c r="M156" s="168"/>
    </row>
    <row r="157" spans="1:13" x14ac:dyDescent="0.2">
      <c r="A157" s="94" t="s">
        <v>26</v>
      </c>
      <c r="B157" s="95" t="s">
        <v>27</v>
      </c>
      <c r="C157" s="95" t="s">
        <v>28</v>
      </c>
      <c r="D157" s="95" t="s">
        <v>29</v>
      </c>
      <c r="E157" s="95" t="s">
        <v>30</v>
      </c>
      <c r="F157" s="96" t="s">
        <v>31</v>
      </c>
      <c r="H157" s="94" t="s">
        <v>26</v>
      </c>
      <c r="I157" s="95" t="s">
        <v>27</v>
      </c>
      <c r="J157" s="95" t="s">
        <v>28</v>
      </c>
      <c r="K157" s="95" t="s">
        <v>29</v>
      </c>
      <c r="L157" s="95" t="s">
        <v>30</v>
      </c>
      <c r="M157" s="96" t="s">
        <v>31</v>
      </c>
    </row>
    <row r="158" spans="1:13" ht="36" customHeight="1" x14ac:dyDescent="0.2">
      <c r="A158" s="97"/>
      <c r="B158" s="98"/>
      <c r="C158" s="98"/>
      <c r="D158" s="98"/>
      <c r="E158" s="98"/>
      <c r="F158" s="99"/>
      <c r="H158" s="97"/>
      <c r="I158" s="98"/>
      <c r="J158" s="98"/>
      <c r="K158" s="98"/>
      <c r="L158" s="98"/>
      <c r="M158" s="99"/>
    </row>
    <row r="159" spans="1:13" ht="36" customHeight="1" thickBot="1" x14ac:dyDescent="0.25">
      <c r="A159" s="169" t="s">
        <v>32</v>
      </c>
      <c r="B159" s="170"/>
      <c r="C159" s="170"/>
      <c r="D159" s="170" t="s">
        <v>33</v>
      </c>
      <c r="E159" s="170"/>
      <c r="F159" s="171"/>
      <c r="H159" s="169" t="s">
        <v>32</v>
      </c>
      <c r="I159" s="170"/>
      <c r="J159" s="170"/>
      <c r="K159" s="170" t="s">
        <v>33</v>
      </c>
      <c r="L159" s="170"/>
      <c r="M159" s="171"/>
    </row>
    <row r="160" spans="1:13" ht="18.75" customHeight="1" thickTop="1" thickBot="1" x14ac:dyDescent="0.25"/>
    <row r="161" spans="1:13" ht="37.5" customHeight="1" thickTop="1" x14ac:dyDescent="0.2">
      <c r="A161" s="172" t="str">
        <f>úvod!$C$6</f>
        <v>Krajské přebory</v>
      </c>
      <c r="B161" s="173"/>
      <c r="C161" s="173"/>
      <c r="D161" s="173"/>
      <c r="E161" s="173"/>
      <c r="F161" s="174"/>
      <c r="H161" s="172" t="str">
        <f>úvod!$C$6</f>
        <v>Krajské přebory</v>
      </c>
      <c r="I161" s="173"/>
      <c r="J161" s="173"/>
      <c r="K161" s="173"/>
      <c r="L161" s="173"/>
      <c r="M161" s="174"/>
    </row>
    <row r="162" spans="1:13" ht="37.5" customHeight="1" x14ac:dyDescent="0.2">
      <c r="A162" s="175" t="str">
        <f>'Z-singl'!A42</f>
        <v>1.st. U19 - muži Skupina G</v>
      </c>
      <c r="B162" s="176"/>
      <c r="C162" s="176"/>
      <c r="D162" s="176" t="s">
        <v>34</v>
      </c>
      <c r="E162" s="176"/>
      <c r="F162" s="91" t="s">
        <v>45</v>
      </c>
      <c r="H162" s="175" t="str">
        <f>'Z-singl'!A43</f>
        <v>1.st. U19 - muži Skupina G</v>
      </c>
      <c r="I162" s="176"/>
      <c r="J162" s="176"/>
      <c r="K162" s="176" t="s">
        <v>34</v>
      </c>
      <c r="L162" s="176"/>
      <c r="M162" s="91" t="s">
        <v>46</v>
      </c>
    </row>
    <row r="163" spans="1:13" ht="37.5" customHeight="1" x14ac:dyDescent="0.2">
      <c r="A163" s="177" t="str">
        <f>CONCATENATE('Z-singl'!B42," ",'Z-singl'!C42," (",'Z-singl'!D42,")")</f>
        <v>19 Chromník Martin (STP Mikulov)</v>
      </c>
      <c r="B163" s="178"/>
      <c r="C163" s="179"/>
      <c r="D163" s="176" t="str">
        <f>CONCATENATE('Z-singl'!E42," ",'Z-singl'!F42," (",'Z-singl'!G42,")")</f>
        <v>0 ---------- ()</v>
      </c>
      <c r="E163" s="176"/>
      <c r="F163" s="180"/>
      <c r="H163" s="177" t="str">
        <f>CONCATENATE('Z-singl'!B43," ",'Z-singl'!C43," (",'Z-singl'!D43,")")</f>
        <v>13 Havránek Ondřej (MS Brno)</v>
      </c>
      <c r="I163" s="178"/>
      <c r="J163" s="179"/>
      <c r="K163" s="176" t="str">
        <f>CONCATENATE('Z-singl'!E43," ",'Z-singl'!F43," (",'Z-singl'!G43,")")</f>
        <v>8 Pokorný Martin (KST Blansko)</v>
      </c>
      <c r="L163" s="176"/>
      <c r="M163" s="180"/>
    </row>
    <row r="164" spans="1:13" ht="20.25" customHeight="1" x14ac:dyDescent="0.2">
      <c r="A164" s="166"/>
      <c r="B164" s="167"/>
      <c r="C164" s="167"/>
      <c r="D164" s="167"/>
      <c r="E164" s="167"/>
      <c r="F164" s="168"/>
      <c r="G164" s="93"/>
      <c r="H164" s="166"/>
      <c r="I164" s="167"/>
      <c r="J164" s="167"/>
      <c r="K164" s="167"/>
      <c r="L164" s="167"/>
      <c r="M164" s="168"/>
    </row>
    <row r="165" spans="1:13" x14ac:dyDescent="0.2">
      <c r="A165" s="94" t="s">
        <v>26</v>
      </c>
      <c r="B165" s="95" t="s">
        <v>27</v>
      </c>
      <c r="C165" s="95" t="s">
        <v>28</v>
      </c>
      <c r="D165" s="95" t="s">
        <v>29</v>
      </c>
      <c r="E165" s="95" t="s">
        <v>30</v>
      </c>
      <c r="F165" s="96" t="s">
        <v>31</v>
      </c>
      <c r="H165" s="94" t="s">
        <v>26</v>
      </c>
      <c r="I165" s="95" t="s">
        <v>27</v>
      </c>
      <c r="J165" s="95" t="s">
        <v>28</v>
      </c>
      <c r="K165" s="95" t="s">
        <v>29</v>
      </c>
      <c r="L165" s="95" t="s">
        <v>30</v>
      </c>
      <c r="M165" s="96" t="s">
        <v>31</v>
      </c>
    </row>
    <row r="166" spans="1:13" ht="36" customHeight="1" x14ac:dyDescent="0.2">
      <c r="A166" s="97"/>
      <c r="B166" s="98"/>
      <c r="C166" s="98"/>
      <c r="D166" s="98"/>
      <c r="E166" s="98"/>
      <c r="F166" s="99"/>
      <c r="H166" s="97"/>
      <c r="I166" s="98"/>
      <c r="J166" s="98"/>
      <c r="K166" s="98"/>
      <c r="L166" s="98"/>
      <c r="M166" s="99"/>
    </row>
    <row r="167" spans="1:13" ht="36" customHeight="1" thickBot="1" x14ac:dyDescent="0.25">
      <c r="A167" s="169" t="s">
        <v>32</v>
      </c>
      <c r="B167" s="170"/>
      <c r="C167" s="170"/>
      <c r="D167" s="170" t="s">
        <v>33</v>
      </c>
      <c r="E167" s="170"/>
      <c r="F167" s="171"/>
      <c r="H167" s="169" t="s">
        <v>32</v>
      </c>
      <c r="I167" s="170"/>
      <c r="J167" s="170"/>
      <c r="K167" s="170" t="s">
        <v>33</v>
      </c>
      <c r="L167" s="170"/>
      <c r="M167" s="171"/>
    </row>
    <row r="168" spans="1:13" ht="12" customHeight="1" thickTop="1" thickBot="1" x14ac:dyDescent="0.25"/>
    <row r="169" spans="1:13" ht="36" customHeight="1" thickTop="1" x14ac:dyDescent="0.2">
      <c r="A169" s="172" t="str">
        <f>úvod!$C$6</f>
        <v>Krajské přebory</v>
      </c>
      <c r="B169" s="173"/>
      <c r="C169" s="173"/>
      <c r="D169" s="173"/>
      <c r="E169" s="173"/>
      <c r="F169" s="174"/>
      <c r="H169" s="172" t="str">
        <f>úvod!$C$6</f>
        <v>Krajské přebory</v>
      </c>
      <c r="I169" s="173"/>
      <c r="J169" s="173"/>
      <c r="K169" s="173"/>
      <c r="L169" s="173"/>
      <c r="M169" s="174"/>
    </row>
    <row r="170" spans="1:13" ht="36" customHeight="1" x14ac:dyDescent="0.2">
      <c r="A170" s="175" t="str">
        <f>'Z-singl'!A44</f>
        <v>1.st. U19 - muži Skupina H</v>
      </c>
      <c r="B170" s="176"/>
      <c r="C170" s="176"/>
      <c r="D170" s="176" t="s">
        <v>34</v>
      </c>
      <c r="E170" s="176"/>
      <c r="F170" s="91" t="s">
        <v>41</v>
      </c>
      <c r="H170" s="175" t="str">
        <f>'Z-singl'!A45</f>
        <v>1.st. U19 - muži Skupina H</v>
      </c>
      <c r="I170" s="176"/>
      <c r="J170" s="176"/>
      <c r="K170" s="176" t="s">
        <v>34</v>
      </c>
      <c r="L170" s="176"/>
      <c r="M170" s="91" t="s">
        <v>42</v>
      </c>
    </row>
    <row r="171" spans="1:13" ht="36" customHeight="1" x14ac:dyDescent="0.25">
      <c r="A171" s="177" t="str">
        <f>CONCATENATE('Z-singl'!B44," ",'Z-singl'!C44," (",'Z-singl'!D44,")")</f>
        <v>0 ---------- ()</v>
      </c>
      <c r="B171" s="178"/>
      <c r="C171" s="179"/>
      <c r="D171" s="176" t="str">
        <f>CONCATENATE('Z-singl'!E44," ",'Z-singl'!F44," (",'Z-singl'!G44,")")</f>
        <v>0 ---------- ()</v>
      </c>
      <c r="E171" s="176"/>
      <c r="F171" s="180"/>
      <c r="G171" s="92"/>
      <c r="H171" s="177" t="str">
        <f>CONCATENATE('Z-singl'!B45," ",'Z-singl'!C45," (",'Z-singl'!D45,")")</f>
        <v>0 ---------- ()</v>
      </c>
      <c r="I171" s="178"/>
      <c r="J171" s="179"/>
      <c r="K171" s="176" t="str">
        <f>CONCATENATE('Z-singl'!E45," ",'Z-singl'!F45," (",'Z-singl'!G45,")")</f>
        <v>0 ---------- ()</v>
      </c>
      <c r="L171" s="176"/>
      <c r="M171" s="180"/>
    </row>
    <row r="172" spans="1:13" ht="21.75" customHeight="1" x14ac:dyDescent="0.2">
      <c r="A172" s="166"/>
      <c r="B172" s="167"/>
      <c r="C172" s="167"/>
      <c r="D172" s="167"/>
      <c r="E172" s="167"/>
      <c r="F172" s="168"/>
      <c r="G172" s="93"/>
      <c r="H172" s="166"/>
      <c r="I172" s="167"/>
      <c r="J172" s="167"/>
      <c r="K172" s="167"/>
      <c r="L172" s="167"/>
      <c r="M172" s="168"/>
    </row>
    <row r="173" spans="1:13" x14ac:dyDescent="0.2">
      <c r="A173" s="94" t="s">
        <v>26</v>
      </c>
      <c r="B173" s="95" t="s">
        <v>27</v>
      </c>
      <c r="C173" s="95" t="s">
        <v>28</v>
      </c>
      <c r="D173" s="95" t="s">
        <v>29</v>
      </c>
      <c r="E173" s="95" t="s">
        <v>30</v>
      </c>
      <c r="F173" s="96" t="s">
        <v>31</v>
      </c>
      <c r="H173" s="94" t="s">
        <v>26</v>
      </c>
      <c r="I173" s="95" t="s">
        <v>27</v>
      </c>
      <c r="J173" s="95" t="s">
        <v>28</v>
      </c>
      <c r="K173" s="95" t="s">
        <v>29</v>
      </c>
      <c r="L173" s="95" t="s">
        <v>30</v>
      </c>
      <c r="M173" s="96" t="s">
        <v>31</v>
      </c>
    </row>
    <row r="174" spans="1:13" ht="36" customHeight="1" x14ac:dyDescent="0.2">
      <c r="A174" s="97"/>
      <c r="B174" s="98"/>
      <c r="C174" s="98"/>
      <c r="D174" s="98"/>
      <c r="E174" s="98"/>
      <c r="F174" s="99"/>
      <c r="H174" s="97"/>
      <c r="I174" s="98"/>
      <c r="J174" s="98"/>
      <c r="K174" s="98"/>
      <c r="L174" s="98"/>
      <c r="M174" s="99"/>
    </row>
    <row r="175" spans="1:13" ht="36" customHeight="1" thickBot="1" x14ac:dyDescent="0.25">
      <c r="A175" s="169" t="s">
        <v>32</v>
      </c>
      <c r="B175" s="170"/>
      <c r="C175" s="170"/>
      <c r="D175" s="170" t="s">
        <v>33</v>
      </c>
      <c r="E175" s="170"/>
      <c r="F175" s="171"/>
      <c r="H175" s="169" t="s">
        <v>32</v>
      </c>
      <c r="I175" s="170"/>
      <c r="J175" s="170"/>
      <c r="K175" s="170" t="s">
        <v>33</v>
      </c>
      <c r="L175" s="170"/>
      <c r="M175" s="171"/>
    </row>
    <row r="176" spans="1:13" ht="18" customHeight="1" thickTop="1" thickBot="1" x14ac:dyDescent="0.25"/>
    <row r="177" spans="1:13" ht="37.5" customHeight="1" thickTop="1" x14ac:dyDescent="0.2">
      <c r="A177" s="172" t="str">
        <f>úvod!$C$6</f>
        <v>Krajské přebory</v>
      </c>
      <c r="B177" s="173"/>
      <c r="C177" s="173"/>
      <c r="D177" s="173"/>
      <c r="E177" s="173"/>
      <c r="F177" s="174"/>
      <c r="H177" s="172" t="str">
        <f>úvod!$C$6</f>
        <v>Krajské přebory</v>
      </c>
      <c r="I177" s="173"/>
      <c r="J177" s="173"/>
      <c r="K177" s="173"/>
      <c r="L177" s="173"/>
      <c r="M177" s="174"/>
    </row>
    <row r="178" spans="1:13" ht="37.5" customHeight="1" x14ac:dyDescent="0.2">
      <c r="A178" s="175" t="str">
        <f>'Z-singl'!A46</f>
        <v>1.st. U19 - muži Skupina H</v>
      </c>
      <c r="B178" s="176"/>
      <c r="C178" s="176"/>
      <c r="D178" s="176" t="s">
        <v>34</v>
      </c>
      <c r="E178" s="176"/>
      <c r="F178" s="91" t="s">
        <v>43</v>
      </c>
      <c r="H178" s="175" t="str">
        <f>'Z-singl'!A47</f>
        <v>1.st. U19 - muži Skupina H</v>
      </c>
      <c r="I178" s="176"/>
      <c r="J178" s="176"/>
      <c r="K178" s="176" t="s">
        <v>34</v>
      </c>
      <c r="L178" s="176"/>
      <c r="M178" s="91" t="s">
        <v>44</v>
      </c>
    </row>
    <row r="179" spans="1:13" ht="37.5" customHeight="1" x14ac:dyDescent="0.2">
      <c r="A179" s="177" t="str">
        <f>CONCATENATE('Z-singl'!B46," ",'Z-singl'!C46," (",'Z-singl'!D46,")")</f>
        <v>0 ---------- ()</v>
      </c>
      <c r="B179" s="178"/>
      <c r="C179" s="179"/>
      <c r="D179" s="176" t="str">
        <f>CONCATENATE('Z-singl'!E46," ",'Z-singl'!F46," (",'Z-singl'!G46,")")</f>
        <v>0 ---------- ()</v>
      </c>
      <c r="E179" s="176"/>
      <c r="F179" s="180"/>
      <c r="H179" s="177" t="str">
        <f>CONCATENATE('Z-singl'!B47," ",'Z-singl'!C47," (",'Z-singl'!D47,")")</f>
        <v>0 ---------- ()</v>
      </c>
      <c r="I179" s="178"/>
      <c r="J179" s="179"/>
      <c r="K179" s="176" t="str">
        <f>CONCATENATE('Z-singl'!E47," ",'Z-singl'!F47," (",'Z-singl'!G47,")")</f>
        <v>0 ---------- ()</v>
      </c>
      <c r="L179" s="176"/>
      <c r="M179" s="180"/>
    </row>
    <row r="180" spans="1:13" ht="21.75" customHeight="1" x14ac:dyDescent="0.2">
      <c r="A180" s="166"/>
      <c r="B180" s="167"/>
      <c r="C180" s="167"/>
      <c r="D180" s="167"/>
      <c r="E180" s="167"/>
      <c r="F180" s="168"/>
      <c r="G180" s="93"/>
      <c r="H180" s="166"/>
      <c r="I180" s="167"/>
      <c r="J180" s="167"/>
      <c r="K180" s="167"/>
      <c r="L180" s="167"/>
      <c r="M180" s="168"/>
    </row>
    <row r="181" spans="1:13" x14ac:dyDescent="0.2">
      <c r="A181" s="94" t="s">
        <v>26</v>
      </c>
      <c r="B181" s="95" t="s">
        <v>27</v>
      </c>
      <c r="C181" s="95" t="s">
        <v>28</v>
      </c>
      <c r="D181" s="95" t="s">
        <v>29</v>
      </c>
      <c r="E181" s="95" t="s">
        <v>30</v>
      </c>
      <c r="F181" s="96" t="s">
        <v>31</v>
      </c>
      <c r="H181" s="94" t="s">
        <v>26</v>
      </c>
      <c r="I181" s="95" t="s">
        <v>27</v>
      </c>
      <c r="J181" s="95" t="s">
        <v>28</v>
      </c>
      <c r="K181" s="95" t="s">
        <v>29</v>
      </c>
      <c r="L181" s="95" t="s">
        <v>30</v>
      </c>
      <c r="M181" s="96" t="s">
        <v>31</v>
      </c>
    </row>
    <row r="182" spans="1:13" ht="36" customHeight="1" x14ac:dyDescent="0.2">
      <c r="A182" s="97"/>
      <c r="B182" s="98"/>
      <c r="C182" s="98"/>
      <c r="D182" s="98"/>
      <c r="E182" s="98"/>
      <c r="F182" s="99"/>
      <c r="H182" s="97"/>
      <c r="I182" s="98"/>
      <c r="J182" s="98"/>
      <c r="K182" s="98"/>
      <c r="L182" s="98"/>
      <c r="M182" s="99"/>
    </row>
    <row r="183" spans="1:13" ht="36" customHeight="1" thickBot="1" x14ac:dyDescent="0.25">
      <c r="A183" s="169" t="s">
        <v>32</v>
      </c>
      <c r="B183" s="170"/>
      <c r="C183" s="170"/>
      <c r="D183" s="170" t="s">
        <v>33</v>
      </c>
      <c r="E183" s="170"/>
      <c r="F183" s="171"/>
      <c r="H183" s="169" t="s">
        <v>32</v>
      </c>
      <c r="I183" s="170"/>
      <c r="J183" s="170"/>
      <c r="K183" s="170" t="s">
        <v>33</v>
      </c>
      <c r="L183" s="170"/>
      <c r="M183" s="171"/>
    </row>
    <row r="184" spans="1:13" ht="18.75" customHeight="1" thickTop="1" thickBot="1" x14ac:dyDescent="0.25"/>
    <row r="185" spans="1:13" ht="37.5" customHeight="1" thickTop="1" x14ac:dyDescent="0.2">
      <c r="A185" s="172" t="str">
        <f>úvod!$C$6</f>
        <v>Krajské přebory</v>
      </c>
      <c r="B185" s="173"/>
      <c r="C185" s="173"/>
      <c r="D185" s="173"/>
      <c r="E185" s="173"/>
      <c r="F185" s="174"/>
      <c r="H185" s="172" t="str">
        <f>úvod!$C$6</f>
        <v>Krajské přebory</v>
      </c>
      <c r="I185" s="173"/>
      <c r="J185" s="173"/>
      <c r="K185" s="173"/>
      <c r="L185" s="173"/>
      <c r="M185" s="174"/>
    </row>
    <row r="186" spans="1:13" ht="37.5" customHeight="1" x14ac:dyDescent="0.2">
      <c r="A186" s="175" t="str">
        <f>'Z-singl'!A48</f>
        <v>1.st. U19 - muži Skupina H</v>
      </c>
      <c r="B186" s="176"/>
      <c r="C186" s="176"/>
      <c r="D186" s="176" t="s">
        <v>34</v>
      </c>
      <c r="E186" s="176"/>
      <c r="F186" s="91" t="s">
        <v>45</v>
      </c>
      <c r="H186" s="175" t="str">
        <f>'Z-singl'!A49</f>
        <v>1.st. U19 - muži Skupina H</v>
      </c>
      <c r="I186" s="176"/>
      <c r="J186" s="176"/>
      <c r="K186" s="176" t="s">
        <v>34</v>
      </c>
      <c r="L186" s="176"/>
      <c r="M186" s="91" t="s">
        <v>46</v>
      </c>
    </row>
    <row r="187" spans="1:13" ht="37.5" customHeight="1" x14ac:dyDescent="0.2">
      <c r="A187" s="177" t="str">
        <f>CONCATENATE('Z-singl'!B48," ",'Z-singl'!C48," (",'Z-singl'!D48,")")</f>
        <v>0 ---------- ()</v>
      </c>
      <c r="B187" s="178"/>
      <c r="C187" s="179"/>
      <c r="D187" s="176" t="str">
        <f>CONCATENATE('Z-singl'!E48," ",'Z-singl'!F48," (",'Z-singl'!G48,")")</f>
        <v>0 ---------- ()</v>
      </c>
      <c r="E187" s="176"/>
      <c r="F187" s="180"/>
      <c r="H187" s="177" t="str">
        <f>CONCATENATE('Z-singl'!B49," ",'Z-singl'!C49," (",'Z-singl'!D49,")")</f>
        <v>0 ---------- ()</v>
      </c>
      <c r="I187" s="178"/>
      <c r="J187" s="179"/>
      <c r="K187" s="176" t="str">
        <f>CONCATENATE('Z-singl'!E49," ",'Z-singl'!F49," (",'Z-singl'!G49,")")</f>
        <v>0 ---------- ()</v>
      </c>
      <c r="L187" s="176"/>
      <c r="M187" s="180"/>
    </row>
    <row r="188" spans="1:13" ht="20.25" customHeight="1" x14ac:dyDescent="0.2">
      <c r="A188" s="166"/>
      <c r="B188" s="167"/>
      <c r="C188" s="167"/>
      <c r="D188" s="167"/>
      <c r="E188" s="167"/>
      <c r="F188" s="168"/>
      <c r="G188" s="93"/>
      <c r="H188" s="166"/>
      <c r="I188" s="167"/>
      <c r="J188" s="167"/>
      <c r="K188" s="167"/>
      <c r="L188" s="167"/>
      <c r="M188" s="168"/>
    </row>
    <row r="189" spans="1:13" x14ac:dyDescent="0.2">
      <c r="A189" s="94" t="s">
        <v>26</v>
      </c>
      <c r="B189" s="95" t="s">
        <v>27</v>
      </c>
      <c r="C189" s="95" t="s">
        <v>28</v>
      </c>
      <c r="D189" s="95" t="s">
        <v>29</v>
      </c>
      <c r="E189" s="95" t="s">
        <v>30</v>
      </c>
      <c r="F189" s="96" t="s">
        <v>31</v>
      </c>
      <c r="H189" s="94" t="s">
        <v>26</v>
      </c>
      <c r="I189" s="95" t="s">
        <v>27</v>
      </c>
      <c r="J189" s="95" t="s">
        <v>28</v>
      </c>
      <c r="K189" s="95" t="s">
        <v>29</v>
      </c>
      <c r="L189" s="95" t="s">
        <v>30</v>
      </c>
      <c r="M189" s="96" t="s">
        <v>31</v>
      </c>
    </row>
    <row r="190" spans="1:13" ht="36" customHeight="1" x14ac:dyDescent="0.2">
      <c r="A190" s="97"/>
      <c r="B190" s="98"/>
      <c r="C190" s="98"/>
      <c r="D190" s="98"/>
      <c r="E190" s="98"/>
      <c r="F190" s="99"/>
      <c r="H190" s="97"/>
      <c r="I190" s="98"/>
      <c r="J190" s="98"/>
      <c r="K190" s="98"/>
      <c r="L190" s="98"/>
      <c r="M190" s="99"/>
    </row>
    <row r="191" spans="1:13" ht="36" customHeight="1" thickBot="1" x14ac:dyDescent="0.25">
      <c r="A191" s="169" t="s">
        <v>32</v>
      </c>
      <c r="B191" s="170"/>
      <c r="C191" s="170"/>
      <c r="D191" s="170" t="s">
        <v>33</v>
      </c>
      <c r="E191" s="170"/>
      <c r="F191" s="171"/>
      <c r="H191" s="169" t="s">
        <v>32</v>
      </c>
      <c r="I191" s="170"/>
      <c r="J191" s="170"/>
      <c r="K191" s="170" t="s">
        <v>33</v>
      </c>
      <c r="L191" s="170"/>
      <c r="M191" s="171"/>
    </row>
    <row r="192" spans="1:13" ht="12" customHeight="1" thickTop="1" thickBot="1" x14ac:dyDescent="0.25"/>
    <row r="193" spans="1:13" ht="37.5" customHeight="1" thickTop="1" x14ac:dyDescent="0.2">
      <c r="A193" s="172" t="str">
        <f>úvod!$C$6</f>
        <v>Krajské přebory</v>
      </c>
      <c r="B193" s="173"/>
      <c r="C193" s="173"/>
      <c r="D193" s="173"/>
      <c r="E193" s="173"/>
      <c r="F193" s="174"/>
      <c r="H193" s="172" t="str">
        <f>úvod!$C$6</f>
        <v>Krajské přebory</v>
      </c>
      <c r="I193" s="173"/>
      <c r="J193" s="173"/>
      <c r="K193" s="173"/>
      <c r="L193" s="173"/>
      <c r="M193" s="174"/>
    </row>
    <row r="194" spans="1:13" ht="37.5" customHeight="1" x14ac:dyDescent="0.2">
      <c r="A194" s="175"/>
      <c r="B194" s="176"/>
      <c r="C194" s="176"/>
      <c r="D194" s="176" t="s">
        <v>34</v>
      </c>
      <c r="E194" s="176"/>
      <c r="F194" s="91" t="s">
        <v>127</v>
      </c>
      <c r="H194" s="175"/>
      <c r="I194" s="176"/>
      <c r="J194" s="176"/>
      <c r="K194" s="176" t="s">
        <v>34</v>
      </c>
      <c r="L194" s="176"/>
      <c r="M194" s="91" t="s">
        <v>127</v>
      </c>
    </row>
    <row r="195" spans="1:13" ht="37.5" customHeight="1" x14ac:dyDescent="0.2">
      <c r="A195" s="177"/>
      <c r="B195" s="178"/>
      <c r="C195" s="179"/>
      <c r="D195" s="176"/>
      <c r="E195" s="176"/>
      <c r="F195" s="180"/>
      <c r="H195" s="177"/>
      <c r="I195" s="178"/>
      <c r="J195" s="179"/>
      <c r="K195" s="176"/>
      <c r="L195" s="176"/>
      <c r="M195" s="180"/>
    </row>
    <row r="196" spans="1:13" ht="21.75" customHeight="1" x14ac:dyDescent="0.2">
      <c r="A196" s="166"/>
      <c r="B196" s="167"/>
      <c r="C196" s="167"/>
      <c r="D196" s="167"/>
      <c r="E196" s="167"/>
      <c r="F196" s="168"/>
      <c r="G196" s="93"/>
      <c r="H196" s="166"/>
      <c r="I196" s="167"/>
      <c r="J196" s="167"/>
      <c r="K196" s="167"/>
      <c r="L196" s="167"/>
      <c r="M196" s="168"/>
    </row>
    <row r="197" spans="1:13" x14ac:dyDescent="0.2">
      <c r="A197" s="94" t="s">
        <v>26</v>
      </c>
      <c r="B197" s="95" t="s">
        <v>27</v>
      </c>
      <c r="C197" s="95" t="s">
        <v>28</v>
      </c>
      <c r="D197" s="95" t="s">
        <v>29</v>
      </c>
      <c r="E197" s="95" t="s">
        <v>30</v>
      </c>
      <c r="F197" s="96" t="s">
        <v>31</v>
      </c>
      <c r="H197" s="94" t="s">
        <v>26</v>
      </c>
      <c r="I197" s="95" t="s">
        <v>27</v>
      </c>
      <c r="J197" s="95" t="s">
        <v>28</v>
      </c>
      <c r="K197" s="95" t="s">
        <v>29</v>
      </c>
      <c r="L197" s="95" t="s">
        <v>30</v>
      </c>
      <c r="M197" s="96" t="s">
        <v>31</v>
      </c>
    </row>
    <row r="198" spans="1:13" ht="36" customHeight="1" x14ac:dyDescent="0.2">
      <c r="A198" s="97"/>
      <c r="B198" s="98"/>
      <c r="C198" s="98"/>
      <c r="D198" s="98"/>
      <c r="E198" s="98"/>
      <c r="F198" s="99"/>
      <c r="H198" s="97"/>
      <c r="I198" s="98"/>
      <c r="J198" s="98"/>
      <c r="K198" s="98"/>
      <c r="L198" s="98"/>
      <c r="M198" s="99"/>
    </row>
    <row r="199" spans="1:13" ht="36" customHeight="1" thickBot="1" x14ac:dyDescent="0.25">
      <c r="A199" s="169" t="s">
        <v>32</v>
      </c>
      <c r="B199" s="170"/>
      <c r="C199" s="170"/>
      <c r="D199" s="170" t="s">
        <v>33</v>
      </c>
      <c r="E199" s="170"/>
      <c r="F199" s="171"/>
      <c r="H199" s="169" t="s">
        <v>32</v>
      </c>
      <c r="I199" s="170"/>
      <c r="J199" s="170"/>
      <c r="K199" s="170" t="s">
        <v>33</v>
      </c>
      <c r="L199" s="170"/>
      <c r="M199" s="171"/>
    </row>
    <row r="200" spans="1:13" ht="18.75" customHeight="1" thickTop="1" thickBot="1" x14ac:dyDescent="0.25"/>
    <row r="201" spans="1:13" ht="37.5" customHeight="1" thickTop="1" x14ac:dyDescent="0.2">
      <c r="A201" s="172" t="str">
        <f>úvod!$C$6</f>
        <v>Krajské přebory</v>
      </c>
      <c r="B201" s="173"/>
      <c r="C201" s="173"/>
      <c r="D201" s="173"/>
      <c r="E201" s="173"/>
      <c r="F201" s="174"/>
      <c r="H201" s="172" t="str">
        <f>úvod!$C$6</f>
        <v>Krajské přebory</v>
      </c>
      <c r="I201" s="173"/>
      <c r="J201" s="173"/>
      <c r="K201" s="173"/>
      <c r="L201" s="173"/>
      <c r="M201" s="174"/>
    </row>
    <row r="202" spans="1:13" ht="37.5" customHeight="1" x14ac:dyDescent="0.2">
      <c r="A202" s="175"/>
      <c r="B202" s="176"/>
      <c r="C202" s="176"/>
      <c r="D202" s="176" t="s">
        <v>34</v>
      </c>
      <c r="E202" s="176"/>
      <c r="F202" s="91" t="s">
        <v>127</v>
      </c>
      <c r="H202" s="175"/>
      <c r="I202" s="176"/>
      <c r="J202" s="176"/>
      <c r="K202" s="176" t="s">
        <v>34</v>
      </c>
      <c r="L202" s="176"/>
      <c r="M202" s="91" t="s">
        <v>127</v>
      </c>
    </row>
    <row r="203" spans="1:13" ht="37.5" customHeight="1" x14ac:dyDescent="0.2">
      <c r="A203" s="177"/>
      <c r="B203" s="178"/>
      <c r="C203" s="179"/>
      <c r="D203" s="176"/>
      <c r="E203" s="176"/>
      <c r="F203" s="180"/>
      <c r="H203" s="177"/>
      <c r="I203" s="178"/>
      <c r="J203" s="179"/>
      <c r="K203" s="176"/>
      <c r="L203" s="176"/>
      <c r="M203" s="180"/>
    </row>
    <row r="204" spans="1:13" ht="20.25" customHeight="1" x14ac:dyDescent="0.2">
      <c r="A204" s="166"/>
      <c r="B204" s="167"/>
      <c r="C204" s="167"/>
      <c r="D204" s="167"/>
      <c r="E204" s="167"/>
      <c r="F204" s="168"/>
      <c r="G204" s="93"/>
      <c r="H204" s="166"/>
      <c r="I204" s="167"/>
      <c r="J204" s="167"/>
      <c r="K204" s="167"/>
      <c r="L204" s="167"/>
      <c r="M204" s="168"/>
    </row>
    <row r="205" spans="1:13" x14ac:dyDescent="0.2">
      <c r="A205" s="94" t="s">
        <v>26</v>
      </c>
      <c r="B205" s="95" t="s">
        <v>27</v>
      </c>
      <c r="C205" s="95" t="s">
        <v>28</v>
      </c>
      <c r="D205" s="95" t="s">
        <v>29</v>
      </c>
      <c r="E205" s="95" t="s">
        <v>30</v>
      </c>
      <c r="F205" s="96" t="s">
        <v>31</v>
      </c>
      <c r="H205" s="94" t="s">
        <v>26</v>
      </c>
      <c r="I205" s="95" t="s">
        <v>27</v>
      </c>
      <c r="J205" s="95" t="s">
        <v>28</v>
      </c>
      <c r="K205" s="95" t="s">
        <v>29</v>
      </c>
      <c r="L205" s="95" t="s">
        <v>30</v>
      </c>
      <c r="M205" s="96" t="s">
        <v>31</v>
      </c>
    </row>
    <row r="206" spans="1:13" ht="36" customHeight="1" x14ac:dyDescent="0.2">
      <c r="A206" s="97"/>
      <c r="B206" s="98"/>
      <c r="C206" s="98"/>
      <c r="D206" s="98"/>
      <c r="E206" s="98"/>
      <c r="F206" s="99"/>
      <c r="H206" s="97"/>
      <c r="I206" s="98"/>
      <c r="J206" s="98"/>
      <c r="K206" s="98"/>
      <c r="L206" s="98"/>
      <c r="M206" s="99"/>
    </row>
    <row r="207" spans="1:13" ht="36" customHeight="1" thickBot="1" x14ac:dyDescent="0.25">
      <c r="A207" s="169" t="s">
        <v>32</v>
      </c>
      <c r="B207" s="170"/>
      <c r="C207" s="170"/>
      <c r="D207" s="170" t="s">
        <v>33</v>
      </c>
      <c r="E207" s="170"/>
      <c r="F207" s="171"/>
      <c r="H207" s="169" t="s">
        <v>32</v>
      </c>
      <c r="I207" s="170"/>
      <c r="J207" s="170"/>
      <c r="K207" s="170" t="s">
        <v>33</v>
      </c>
      <c r="L207" s="170"/>
      <c r="M207" s="171"/>
    </row>
    <row r="208" spans="1:13" ht="12" customHeight="1" thickTop="1" thickBot="1" x14ac:dyDescent="0.25"/>
    <row r="209" spans="1:13" ht="37.5" customHeight="1" thickTop="1" x14ac:dyDescent="0.2">
      <c r="A209" s="172" t="str">
        <f>úvod!$C$6</f>
        <v>Krajské přebory</v>
      </c>
      <c r="B209" s="173"/>
      <c r="C209" s="173"/>
      <c r="D209" s="173"/>
      <c r="E209" s="173"/>
      <c r="F209" s="174"/>
      <c r="H209" s="172" t="str">
        <f>úvod!$C$6</f>
        <v>Krajské přebory</v>
      </c>
      <c r="I209" s="173"/>
      <c r="J209" s="173"/>
      <c r="K209" s="173"/>
      <c r="L209" s="173"/>
      <c r="M209" s="174"/>
    </row>
    <row r="210" spans="1:13" ht="37.5" customHeight="1" x14ac:dyDescent="0.2">
      <c r="A210" s="175"/>
      <c r="B210" s="176"/>
      <c r="C210" s="176"/>
      <c r="D210" s="176" t="s">
        <v>34</v>
      </c>
      <c r="E210" s="176"/>
      <c r="F210" s="91" t="s">
        <v>127</v>
      </c>
      <c r="H210" s="175"/>
      <c r="I210" s="176"/>
      <c r="J210" s="176"/>
      <c r="K210" s="176" t="s">
        <v>34</v>
      </c>
      <c r="L210" s="176"/>
      <c r="M210" s="91" t="s">
        <v>127</v>
      </c>
    </row>
    <row r="211" spans="1:13" ht="37.5" customHeight="1" x14ac:dyDescent="0.2">
      <c r="A211" s="177"/>
      <c r="B211" s="178"/>
      <c r="C211" s="179"/>
      <c r="D211" s="176"/>
      <c r="E211" s="176"/>
      <c r="F211" s="180"/>
      <c r="H211" s="177"/>
      <c r="I211" s="178"/>
      <c r="J211" s="179"/>
      <c r="K211" s="176"/>
      <c r="L211" s="176"/>
      <c r="M211" s="180"/>
    </row>
    <row r="212" spans="1:13" ht="20.25" customHeight="1" x14ac:dyDescent="0.2">
      <c r="A212" s="166"/>
      <c r="B212" s="167"/>
      <c r="C212" s="167"/>
      <c r="D212" s="167"/>
      <c r="E212" s="167"/>
      <c r="F212" s="168"/>
      <c r="G212" s="93"/>
      <c r="H212" s="166"/>
      <c r="I212" s="167"/>
      <c r="J212" s="167"/>
      <c r="K212" s="167"/>
      <c r="L212" s="167"/>
      <c r="M212" s="168"/>
    </row>
    <row r="213" spans="1:13" x14ac:dyDescent="0.2">
      <c r="A213" s="94" t="s">
        <v>26</v>
      </c>
      <c r="B213" s="95" t="s">
        <v>27</v>
      </c>
      <c r="C213" s="95" t="s">
        <v>28</v>
      </c>
      <c r="D213" s="95" t="s">
        <v>29</v>
      </c>
      <c r="E213" s="95" t="s">
        <v>30</v>
      </c>
      <c r="F213" s="96" t="s">
        <v>31</v>
      </c>
      <c r="H213" s="94" t="s">
        <v>26</v>
      </c>
      <c r="I213" s="95" t="s">
        <v>27</v>
      </c>
      <c r="J213" s="95" t="s">
        <v>28</v>
      </c>
      <c r="K213" s="95" t="s">
        <v>29</v>
      </c>
      <c r="L213" s="95" t="s">
        <v>30</v>
      </c>
      <c r="M213" s="96" t="s">
        <v>31</v>
      </c>
    </row>
    <row r="214" spans="1:13" ht="36" customHeight="1" x14ac:dyDescent="0.2">
      <c r="A214" s="97"/>
      <c r="B214" s="98"/>
      <c r="C214" s="98"/>
      <c r="D214" s="98"/>
      <c r="E214" s="98"/>
      <c r="F214" s="99"/>
      <c r="H214" s="97"/>
      <c r="I214" s="98"/>
      <c r="J214" s="98"/>
      <c r="K214" s="98"/>
      <c r="L214" s="98"/>
      <c r="M214" s="99"/>
    </row>
    <row r="215" spans="1:13" ht="36" customHeight="1" thickBot="1" x14ac:dyDescent="0.25">
      <c r="A215" s="169" t="s">
        <v>32</v>
      </c>
      <c r="B215" s="170"/>
      <c r="C215" s="170"/>
      <c r="D215" s="170" t="s">
        <v>33</v>
      </c>
      <c r="E215" s="170"/>
      <c r="F215" s="171"/>
      <c r="H215" s="169" t="s">
        <v>32</v>
      </c>
      <c r="I215" s="170"/>
      <c r="J215" s="170"/>
      <c r="K215" s="170" t="s">
        <v>33</v>
      </c>
      <c r="L215" s="170"/>
      <c r="M215" s="171"/>
    </row>
    <row r="216" spans="1:13" ht="12" customHeight="1" thickTop="1" x14ac:dyDescent="0.2"/>
  </sheetData>
  <mergeCells count="432">
    <mergeCell ref="A1:F1"/>
    <mergeCell ref="H1:M1"/>
    <mergeCell ref="A2:C2"/>
    <mergeCell ref="D2:E2"/>
    <mergeCell ref="H2:J2"/>
    <mergeCell ref="K2:L2"/>
    <mergeCell ref="A7:C7"/>
    <mergeCell ref="D7:F7"/>
    <mergeCell ref="H7:J7"/>
    <mergeCell ref="K7:M7"/>
    <mergeCell ref="A9:F9"/>
    <mergeCell ref="H9:M9"/>
    <mergeCell ref="A3:C3"/>
    <mergeCell ref="D3:F3"/>
    <mergeCell ref="H3:J3"/>
    <mergeCell ref="K3:M3"/>
    <mergeCell ref="A4:F4"/>
    <mergeCell ref="H4:M4"/>
    <mergeCell ref="A12:F12"/>
    <mergeCell ref="H12:M12"/>
    <mergeCell ref="A15:C15"/>
    <mergeCell ref="D15:F15"/>
    <mergeCell ref="H15:J15"/>
    <mergeCell ref="K15:M15"/>
    <mergeCell ref="A10:C10"/>
    <mergeCell ref="D10:E10"/>
    <mergeCell ref="H10:J10"/>
    <mergeCell ref="K10:L10"/>
    <mergeCell ref="A11:C11"/>
    <mergeCell ref="D11:F11"/>
    <mergeCell ref="H11:J11"/>
    <mergeCell ref="K11:M11"/>
    <mergeCell ref="A19:C19"/>
    <mergeCell ref="D19:F19"/>
    <mergeCell ref="H19:J19"/>
    <mergeCell ref="K19:M19"/>
    <mergeCell ref="A20:F20"/>
    <mergeCell ref="H20:M20"/>
    <mergeCell ref="A17:F17"/>
    <mergeCell ref="H17:M17"/>
    <mergeCell ref="A18:C18"/>
    <mergeCell ref="D18:E18"/>
    <mergeCell ref="H18:J18"/>
    <mergeCell ref="K18:L18"/>
    <mergeCell ref="A26:C26"/>
    <mergeCell ref="D26:E26"/>
    <mergeCell ref="H26:J26"/>
    <mergeCell ref="K26:L26"/>
    <mergeCell ref="A27:C27"/>
    <mergeCell ref="D27:F27"/>
    <mergeCell ref="H27:J27"/>
    <mergeCell ref="K27:M27"/>
    <mergeCell ref="A23:C23"/>
    <mergeCell ref="D23:F23"/>
    <mergeCell ref="H23:J23"/>
    <mergeCell ref="K23:M23"/>
    <mergeCell ref="A25:F25"/>
    <mergeCell ref="H25:M25"/>
    <mergeCell ref="A33:F33"/>
    <mergeCell ref="H33:M33"/>
    <mergeCell ref="A34:C34"/>
    <mergeCell ref="D34:E34"/>
    <mergeCell ref="H34:J34"/>
    <mergeCell ref="K34:L34"/>
    <mergeCell ref="A28:F28"/>
    <mergeCell ref="H28:M28"/>
    <mergeCell ref="A31:C31"/>
    <mergeCell ref="D31:F31"/>
    <mergeCell ref="H31:J31"/>
    <mergeCell ref="K31:M31"/>
    <mergeCell ref="A39:C39"/>
    <mergeCell ref="D39:F39"/>
    <mergeCell ref="H39:J39"/>
    <mergeCell ref="K39:M39"/>
    <mergeCell ref="A41:F41"/>
    <mergeCell ref="H41:M41"/>
    <mergeCell ref="A35:C35"/>
    <mergeCell ref="D35:F35"/>
    <mergeCell ref="H35:J35"/>
    <mergeCell ref="K35:M35"/>
    <mergeCell ref="A36:F36"/>
    <mergeCell ref="H36:M36"/>
    <mergeCell ref="A44:F44"/>
    <mergeCell ref="H44:M44"/>
    <mergeCell ref="A47:C47"/>
    <mergeCell ref="D47:F47"/>
    <mergeCell ref="H47:J47"/>
    <mergeCell ref="K47:M47"/>
    <mergeCell ref="A42:C42"/>
    <mergeCell ref="D42:E42"/>
    <mergeCell ref="H42:J42"/>
    <mergeCell ref="K42:L42"/>
    <mergeCell ref="A43:C43"/>
    <mergeCell ref="D43:F43"/>
    <mergeCell ref="H43:J43"/>
    <mergeCell ref="K43:M43"/>
    <mergeCell ref="A123:C123"/>
    <mergeCell ref="D123:F123"/>
    <mergeCell ref="H123:J123"/>
    <mergeCell ref="K123:M123"/>
    <mergeCell ref="A124:F124"/>
    <mergeCell ref="H124:M124"/>
    <mergeCell ref="A127:C127"/>
    <mergeCell ref="D127:F127"/>
    <mergeCell ref="H127:J127"/>
    <mergeCell ref="K127:M127"/>
    <mergeCell ref="A116:F116"/>
    <mergeCell ref="H116:M116"/>
    <mergeCell ref="A119:C119"/>
    <mergeCell ref="D119:F119"/>
    <mergeCell ref="H119:J119"/>
    <mergeCell ref="K119:M119"/>
    <mergeCell ref="A121:F121"/>
    <mergeCell ref="H121:M121"/>
    <mergeCell ref="A122:C122"/>
    <mergeCell ref="D122:E122"/>
    <mergeCell ref="H122:J122"/>
    <mergeCell ref="K122:L122"/>
    <mergeCell ref="A113:F113"/>
    <mergeCell ref="H113:M113"/>
    <mergeCell ref="A114:C114"/>
    <mergeCell ref="D114:E114"/>
    <mergeCell ref="H114:J114"/>
    <mergeCell ref="K114:L114"/>
    <mergeCell ref="A115:C115"/>
    <mergeCell ref="D115:F115"/>
    <mergeCell ref="H115:J115"/>
    <mergeCell ref="K115:M115"/>
    <mergeCell ref="A107:C107"/>
    <mergeCell ref="D107:F107"/>
    <mergeCell ref="H107:J107"/>
    <mergeCell ref="K107:M107"/>
    <mergeCell ref="A108:F108"/>
    <mergeCell ref="H108:M108"/>
    <mergeCell ref="A111:C111"/>
    <mergeCell ref="D111:F111"/>
    <mergeCell ref="H111:J111"/>
    <mergeCell ref="K111:M111"/>
    <mergeCell ref="A100:F100"/>
    <mergeCell ref="H100:M100"/>
    <mergeCell ref="A103:C103"/>
    <mergeCell ref="D103:F103"/>
    <mergeCell ref="H103:J103"/>
    <mergeCell ref="K103:M103"/>
    <mergeCell ref="A105:F105"/>
    <mergeCell ref="H105:M105"/>
    <mergeCell ref="A106:C106"/>
    <mergeCell ref="D106:E106"/>
    <mergeCell ref="H106:J106"/>
    <mergeCell ref="K106:L106"/>
    <mergeCell ref="A97:F97"/>
    <mergeCell ref="H97:M97"/>
    <mergeCell ref="A98:C98"/>
    <mergeCell ref="D98:E98"/>
    <mergeCell ref="H98:J98"/>
    <mergeCell ref="K98:L98"/>
    <mergeCell ref="A99:C99"/>
    <mergeCell ref="D99:F99"/>
    <mergeCell ref="H99:J99"/>
    <mergeCell ref="K99:M99"/>
    <mergeCell ref="A91:C91"/>
    <mergeCell ref="D91:F91"/>
    <mergeCell ref="H91:J91"/>
    <mergeCell ref="K91:M91"/>
    <mergeCell ref="A92:F92"/>
    <mergeCell ref="H92:M92"/>
    <mergeCell ref="A95:C95"/>
    <mergeCell ref="D95:F95"/>
    <mergeCell ref="H95:J95"/>
    <mergeCell ref="K95:M95"/>
    <mergeCell ref="A84:F84"/>
    <mergeCell ref="H84:M84"/>
    <mergeCell ref="A87:C87"/>
    <mergeCell ref="D87:F87"/>
    <mergeCell ref="H87:J87"/>
    <mergeCell ref="K87:M87"/>
    <mergeCell ref="A89:F89"/>
    <mergeCell ref="H89:M89"/>
    <mergeCell ref="A90:C90"/>
    <mergeCell ref="D90:E90"/>
    <mergeCell ref="H90:J90"/>
    <mergeCell ref="K90:L90"/>
    <mergeCell ref="A81:F81"/>
    <mergeCell ref="H81:M81"/>
    <mergeCell ref="A82:C82"/>
    <mergeCell ref="D82:E82"/>
    <mergeCell ref="H82:J82"/>
    <mergeCell ref="K82:L82"/>
    <mergeCell ref="A83:C83"/>
    <mergeCell ref="D83:F83"/>
    <mergeCell ref="H83:J83"/>
    <mergeCell ref="K83:M83"/>
    <mergeCell ref="A75:C75"/>
    <mergeCell ref="D75:F75"/>
    <mergeCell ref="H75:J75"/>
    <mergeCell ref="K75:M75"/>
    <mergeCell ref="A76:F76"/>
    <mergeCell ref="H76:M76"/>
    <mergeCell ref="A79:C79"/>
    <mergeCell ref="D79:F79"/>
    <mergeCell ref="H79:J79"/>
    <mergeCell ref="K79:M79"/>
    <mergeCell ref="A68:F68"/>
    <mergeCell ref="H68:M68"/>
    <mergeCell ref="A71:C71"/>
    <mergeCell ref="D71:F71"/>
    <mergeCell ref="H71:J71"/>
    <mergeCell ref="K71:M71"/>
    <mergeCell ref="A73:F73"/>
    <mergeCell ref="H73:M73"/>
    <mergeCell ref="A74:C74"/>
    <mergeCell ref="D74:E74"/>
    <mergeCell ref="H74:J74"/>
    <mergeCell ref="K74:L74"/>
    <mergeCell ref="A65:F65"/>
    <mergeCell ref="H65:M65"/>
    <mergeCell ref="A66:C66"/>
    <mergeCell ref="D66:E66"/>
    <mergeCell ref="H66:J66"/>
    <mergeCell ref="K66:L66"/>
    <mergeCell ref="A67:C67"/>
    <mergeCell ref="D67:F67"/>
    <mergeCell ref="H67:J67"/>
    <mergeCell ref="K67:M67"/>
    <mergeCell ref="A59:C59"/>
    <mergeCell ref="D59:F59"/>
    <mergeCell ref="H59:J59"/>
    <mergeCell ref="K59:M59"/>
    <mergeCell ref="A60:F60"/>
    <mergeCell ref="H60:M60"/>
    <mergeCell ref="A63:C63"/>
    <mergeCell ref="D63:F63"/>
    <mergeCell ref="H63:J63"/>
    <mergeCell ref="K63:M63"/>
    <mergeCell ref="A52:F52"/>
    <mergeCell ref="H52:M52"/>
    <mergeCell ref="A55:C55"/>
    <mergeCell ref="D55:F55"/>
    <mergeCell ref="H55:J55"/>
    <mergeCell ref="K55:M55"/>
    <mergeCell ref="A57:F57"/>
    <mergeCell ref="H57:M57"/>
    <mergeCell ref="A58:C58"/>
    <mergeCell ref="D58:E58"/>
    <mergeCell ref="H58:J58"/>
    <mergeCell ref="K58:L58"/>
    <mergeCell ref="A49:F49"/>
    <mergeCell ref="H49:M49"/>
    <mergeCell ref="A50:C50"/>
    <mergeCell ref="D50:E50"/>
    <mergeCell ref="H50:J50"/>
    <mergeCell ref="K50:L50"/>
    <mergeCell ref="A51:C51"/>
    <mergeCell ref="D51:F51"/>
    <mergeCell ref="H51:J51"/>
    <mergeCell ref="K51:M51"/>
    <mergeCell ref="A131:C131"/>
    <mergeCell ref="D131:F131"/>
    <mergeCell ref="H131:J131"/>
    <mergeCell ref="K131:M131"/>
    <mergeCell ref="A132:F132"/>
    <mergeCell ref="H132:M132"/>
    <mergeCell ref="A129:F129"/>
    <mergeCell ref="H129:M129"/>
    <mergeCell ref="A130:C130"/>
    <mergeCell ref="D130:E130"/>
    <mergeCell ref="H130:J130"/>
    <mergeCell ref="K130:L130"/>
    <mergeCell ref="A138:C138"/>
    <mergeCell ref="D138:E138"/>
    <mergeCell ref="H138:J138"/>
    <mergeCell ref="K138:L138"/>
    <mergeCell ref="A139:C139"/>
    <mergeCell ref="D139:F139"/>
    <mergeCell ref="H139:J139"/>
    <mergeCell ref="K139:M139"/>
    <mergeCell ref="A135:C135"/>
    <mergeCell ref="D135:F135"/>
    <mergeCell ref="H135:J135"/>
    <mergeCell ref="K135:M135"/>
    <mergeCell ref="A137:F137"/>
    <mergeCell ref="H137:M137"/>
    <mergeCell ref="A145:F145"/>
    <mergeCell ref="H145:M145"/>
    <mergeCell ref="A146:C146"/>
    <mergeCell ref="D146:E146"/>
    <mergeCell ref="H146:J146"/>
    <mergeCell ref="K146:L146"/>
    <mergeCell ref="A140:F140"/>
    <mergeCell ref="H140:M140"/>
    <mergeCell ref="A143:C143"/>
    <mergeCell ref="D143:F143"/>
    <mergeCell ref="H143:J143"/>
    <mergeCell ref="K143:M143"/>
    <mergeCell ref="A151:C151"/>
    <mergeCell ref="D151:F151"/>
    <mergeCell ref="H151:J151"/>
    <mergeCell ref="K151:M151"/>
    <mergeCell ref="A153:F153"/>
    <mergeCell ref="H153:M153"/>
    <mergeCell ref="A147:C147"/>
    <mergeCell ref="D147:F147"/>
    <mergeCell ref="H147:J147"/>
    <mergeCell ref="K147:M147"/>
    <mergeCell ref="A148:F148"/>
    <mergeCell ref="H148:M148"/>
    <mergeCell ref="A156:F156"/>
    <mergeCell ref="H156:M156"/>
    <mergeCell ref="A159:C159"/>
    <mergeCell ref="D159:F159"/>
    <mergeCell ref="H159:J159"/>
    <mergeCell ref="K159:M159"/>
    <mergeCell ref="A154:C154"/>
    <mergeCell ref="D154:E154"/>
    <mergeCell ref="H154:J154"/>
    <mergeCell ref="K154:L154"/>
    <mergeCell ref="A155:C155"/>
    <mergeCell ref="D155:F155"/>
    <mergeCell ref="H155:J155"/>
    <mergeCell ref="K155:M155"/>
    <mergeCell ref="A163:C163"/>
    <mergeCell ref="D163:F163"/>
    <mergeCell ref="H163:J163"/>
    <mergeCell ref="K163:M163"/>
    <mergeCell ref="A164:F164"/>
    <mergeCell ref="H164:M164"/>
    <mergeCell ref="A161:F161"/>
    <mergeCell ref="H161:M161"/>
    <mergeCell ref="A162:C162"/>
    <mergeCell ref="D162:E162"/>
    <mergeCell ref="H162:J162"/>
    <mergeCell ref="K162:L162"/>
    <mergeCell ref="A170:C170"/>
    <mergeCell ref="D170:E170"/>
    <mergeCell ref="H170:J170"/>
    <mergeCell ref="K170:L170"/>
    <mergeCell ref="A171:C171"/>
    <mergeCell ref="D171:F171"/>
    <mergeCell ref="H171:J171"/>
    <mergeCell ref="K171:M171"/>
    <mergeCell ref="A167:C167"/>
    <mergeCell ref="D167:F167"/>
    <mergeCell ref="H167:J167"/>
    <mergeCell ref="K167:M167"/>
    <mergeCell ref="A169:F169"/>
    <mergeCell ref="H169:M169"/>
    <mergeCell ref="A177:F177"/>
    <mergeCell ref="H177:M177"/>
    <mergeCell ref="A178:C178"/>
    <mergeCell ref="D178:E178"/>
    <mergeCell ref="H178:J178"/>
    <mergeCell ref="K178:L178"/>
    <mergeCell ref="A172:F172"/>
    <mergeCell ref="H172:M172"/>
    <mergeCell ref="A175:C175"/>
    <mergeCell ref="D175:F175"/>
    <mergeCell ref="H175:J175"/>
    <mergeCell ref="K175:M175"/>
    <mergeCell ref="A183:C183"/>
    <mergeCell ref="D183:F183"/>
    <mergeCell ref="H183:J183"/>
    <mergeCell ref="K183:M183"/>
    <mergeCell ref="A185:F185"/>
    <mergeCell ref="H185:M185"/>
    <mergeCell ref="A179:C179"/>
    <mergeCell ref="D179:F179"/>
    <mergeCell ref="H179:J179"/>
    <mergeCell ref="K179:M179"/>
    <mergeCell ref="A180:F180"/>
    <mergeCell ref="H180:M180"/>
    <mergeCell ref="A188:F188"/>
    <mergeCell ref="H188:M188"/>
    <mergeCell ref="A191:C191"/>
    <mergeCell ref="D191:F191"/>
    <mergeCell ref="H191:J191"/>
    <mergeCell ref="K191:M191"/>
    <mergeCell ref="A186:C186"/>
    <mergeCell ref="D186:E186"/>
    <mergeCell ref="H186:J186"/>
    <mergeCell ref="K186:L186"/>
    <mergeCell ref="A187:C187"/>
    <mergeCell ref="D187:F187"/>
    <mergeCell ref="H187:J187"/>
    <mergeCell ref="K187:M187"/>
    <mergeCell ref="A193:F193"/>
    <mergeCell ref="H193:M193"/>
    <mergeCell ref="A194:C194"/>
    <mergeCell ref="D194:E194"/>
    <mergeCell ref="H194:J194"/>
    <mergeCell ref="K194:L194"/>
    <mergeCell ref="A195:C195"/>
    <mergeCell ref="D195:F195"/>
    <mergeCell ref="H195:J195"/>
    <mergeCell ref="K195:M195"/>
    <mergeCell ref="A196:F196"/>
    <mergeCell ref="H196:M196"/>
    <mergeCell ref="A199:C199"/>
    <mergeCell ref="D199:F199"/>
    <mergeCell ref="H199:J199"/>
    <mergeCell ref="K199:M199"/>
    <mergeCell ref="A201:F201"/>
    <mergeCell ref="H201:M201"/>
    <mergeCell ref="A202:C202"/>
    <mergeCell ref="D202:E202"/>
    <mergeCell ref="H202:J202"/>
    <mergeCell ref="K202:L202"/>
    <mergeCell ref="A203:C203"/>
    <mergeCell ref="D203:F203"/>
    <mergeCell ref="H203:J203"/>
    <mergeCell ref="K203:M203"/>
    <mergeCell ref="A204:F204"/>
    <mergeCell ref="H204:M204"/>
    <mergeCell ref="A207:C207"/>
    <mergeCell ref="D207:F207"/>
    <mergeCell ref="H207:J207"/>
    <mergeCell ref="K207:M207"/>
    <mergeCell ref="A212:F212"/>
    <mergeCell ref="H212:M212"/>
    <mergeCell ref="A215:C215"/>
    <mergeCell ref="D215:F215"/>
    <mergeCell ref="H215:J215"/>
    <mergeCell ref="K215:M215"/>
    <mergeCell ref="A209:F209"/>
    <mergeCell ref="H209:M209"/>
    <mergeCell ref="A210:C210"/>
    <mergeCell ref="D210:E210"/>
    <mergeCell ref="H210:J210"/>
    <mergeCell ref="K210:L210"/>
    <mergeCell ref="A211:C211"/>
    <mergeCell ref="D211:F211"/>
    <mergeCell ref="H211:J211"/>
    <mergeCell ref="K211:M211"/>
  </mergeCells>
  <printOptions horizontalCentered="1" verticalCentered="1"/>
  <pageMargins left="0.39370078740157483" right="0.59055118110236227" top="0.39370078740157483" bottom="0.39370078740157483" header="0.51181102362204722" footer="0.51181102362204722"/>
  <pageSetup paperSize="9" scale="75" orientation="landscape" horizontalDpi="300" verticalDpi="300" r:id="rId1"/>
  <headerFooter alignWithMargins="0"/>
  <rowBreaks count="7" manualBreakCount="7">
    <brk id="24" max="12" man="1"/>
    <brk id="48" max="12" man="1"/>
    <brk id="72" max="12" man="1"/>
    <brk id="96" max="12" man="1"/>
    <brk id="120" max="12" man="1"/>
    <brk id="144" max="12" man="1"/>
    <brk id="168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96"/>
  <sheetViews>
    <sheetView view="pageBreakPreview" zoomScale="70" zoomScaleNormal="75" zoomScaleSheetLayoutView="70" workbookViewId="0">
      <selection activeCell="J114" sqref="J114"/>
    </sheetView>
  </sheetViews>
  <sheetFormatPr defaultRowHeight="12.75" x14ac:dyDescent="0.2"/>
  <cols>
    <col min="1" max="6" width="13.7109375" style="90" customWidth="1"/>
    <col min="7" max="7" width="3.7109375" style="90" customWidth="1"/>
    <col min="8" max="13" width="13.7109375" style="90" customWidth="1"/>
    <col min="14" max="14" width="2.7109375" style="90" customWidth="1"/>
    <col min="15" max="16384" width="9.140625" style="90"/>
  </cols>
  <sheetData>
    <row r="1" spans="1:13" ht="36" customHeight="1" thickTop="1" x14ac:dyDescent="0.2">
      <c r="A1" s="172" t="str">
        <f>úvod!$C$6</f>
        <v>Krajské přebory</v>
      </c>
      <c r="B1" s="173"/>
      <c r="C1" s="173"/>
      <c r="D1" s="173"/>
      <c r="E1" s="173"/>
      <c r="F1" s="174"/>
      <c r="H1" s="172" t="str">
        <f>úvod!$C$6</f>
        <v>Krajské přebory</v>
      </c>
      <c r="I1" s="173"/>
      <c r="J1" s="173"/>
      <c r="K1" s="173"/>
      <c r="L1" s="173"/>
      <c r="M1" s="174"/>
    </row>
    <row r="2" spans="1:13" ht="36" customHeight="1" x14ac:dyDescent="0.2">
      <c r="A2" s="175" t="str">
        <f>'Z-singlŽ'!A2</f>
        <v>1.st. U19 - ženy Skupina A</v>
      </c>
      <c r="B2" s="176"/>
      <c r="C2" s="176"/>
      <c r="D2" s="176" t="s">
        <v>34</v>
      </c>
      <c r="E2" s="176"/>
      <c r="F2" s="91" t="s">
        <v>41</v>
      </c>
      <c r="H2" s="175" t="str">
        <f>'Z-singlŽ'!A3</f>
        <v>1.st. U19 - ženy Skupina A</v>
      </c>
      <c r="I2" s="176"/>
      <c r="J2" s="176"/>
      <c r="K2" s="176" t="s">
        <v>34</v>
      </c>
      <c r="L2" s="176"/>
      <c r="M2" s="91" t="s">
        <v>42</v>
      </c>
    </row>
    <row r="3" spans="1:13" ht="36" customHeight="1" x14ac:dyDescent="0.25">
      <c r="A3" s="177" t="str">
        <f>CONCATENATE('Z-singlŽ'!B2," ",'Z-singlŽ'!C2," (",'Z-singlŽ'!D2,")")</f>
        <v>41 Sobotíková Monika (MS Brno)</v>
      </c>
      <c r="B3" s="178"/>
      <c r="C3" s="179"/>
      <c r="D3" s="176" t="str">
        <f>CONCATENATE('Z-singlŽ'!E2," ",'Z-singlŽ'!F2," (",'Z-singlŽ'!G2,")")</f>
        <v>0 ---------- ()</v>
      </c>
      <c r="E3" s="176"/>
      <c r="F3" s="180"/>
      <c r="G3" s="92"/>
      <c r="H3" s="177" t="str">
        <f>CONCATENATE('Z-singlŽ'!B3," ",'Z-singlŽ'!C3," (",'Z-singlŽ'!D3,")")</f>
        <v>47 Mazalová Kristýna (KST Blansko)</v>
      </c>
      <c r="I3" s="178"/>
      <c r="J3" s="179"/>
      <c r="K3" s="176" t="str">
        <f>CONCATENATE('Z-singlŽ'!E3," ",'Z-singlŽ'!F3," (",'Z-singlŽ'!G3,")")</f>
        <v>46 Masopustová Lucie (MSK Břeclav)</v>
      </c>
      <c r="L3" s="176"/>
      <c r="M3" s="180"/>
    </row>
    <row r="4" spans="1:13" ht="21.75" customHeight="1" x14ac:dyDescent="0.2">
      <c r="A4" s="166"/>
      <c r="B4" s="167"/>
      <c r="C4" s="167"/>
      <c r="D4" s="167"/>
      <c r="E4" s="167"/>
      <c r="F4" s="168"/>
      <c r="G4" s="93"/>
      <c r="H4" s="166"/>
      <c r="I4" s="167"/>
      <c r="J4" s="167"/>
      <c r="K4" s="167"/>
      <c r="L4" s="167"/>
      <c r="M4" s="168"/>
    </row>
    <row r="5" spans="1:13" x14ac:dyDescent="0.2">
      <c r="A5" s="94" t="s">
        <v>26</v>
      </c>
      <c r="B5" s="95" t="s">
        <v>27</v>
      </c>
      <c r="C5" s="95" t="s">
        <v>28</v>
      </c>
      <c r="D5" s="95" t="s">
        <v>29</v>
      </c>
      <c r="E5" s="95" t="s">
        <v>30</v>
      </c>
      <c r="F5" s="96" t="s">
        <v>31</v>
      </c>
      <c r="H5" s="94" t="s">
        <v>26</v>
      </c>
      <c r="I5" s="95" t="s">
        <v>27</v>
      </c>
      <c r="J5" s="95" t="s">
        <v>28</v>
      </c>
      <c r="K5" s="95" t="s">
        <v>29</v>
      </c>
      <c r="L5" s="95" t="s">
        <v>30</v>
      </c>
      <c r="M5" s="96" t="s">
        <v>31</v>
      </c>
    </row>
    <row r="6" spans="1:13" ht="36" customHeight="1" x14ac:dyDescent="0.2">
      <c r="A6" s="97"/>
      <c r="B6" s="98"/>
      <c r="C6" s="98"/>
      <c r="D6" s="98"/>
      <c r="E6" s="98"/>
      <c r="F6" s="99"/>
      <c r="H6" s="97"/>
      <c r="I6" s="98"/>
      <c r="J6" s="98"/>
      <c r="K6" s="98"/>
      <c r="L6" s="98"/>
      <c r="M6" s="99"/>
    </row>
    <row r="7" spans="1:13" ht="36" customHeight="1" thickBot="1" x14ac:dyDescent="0.25">
      <c r="A7" s="169" t="s">
        <v>32</v>
      </c>
      <c r="B7" s="170"/>
      <c r="C7" s="170"/>
      <c r="D7" s="170" t="s">
        <v>33</v>
      </c>
      <c r="E7" s="170"/>
      <c r="F7" s="171"/>
      <c r="H7" s="169" t="s">
        <v>32</v>
      </c>
      <c r="I7" s="170"/>
      <c r="J7" s="170"/>
      <c r="K7" s="170" t="s">
        <v>33</v>
      </c>
      <c r="L7" s="170"/>
      <c r="M7" s="171"/>
    </row>
    <row r="8" spans="1:13" ht="18" customHeight="1" thickTop="1" thickBot="1" x14ac:dyDescent="0.25"/>
    <row r="9" spans="1:13" ht="37.5" customHeight="1" thickTop="1" x14ac:dyDescent="0.2">
      <c r="A9" s="172" t="str">
        <f>úvod!$C$6</f>
        <v>Krajské přebory</v>
      </c>
      <c r="B9" s="173"/>
      <c r="C9" s="173"/>
      <c r="D9" s="173"/>
      <c r="E9" s="173"/>
      <c r="F9" s="174"/>
      <c r="H9" s="172" t="str">
        <f>úvod!$C$6</f>
        <v>Krajské přebory</v>
      </c>
      <c r="I9" s="173"/>
      <c r="J9" s="173"/>
      <c r="K9" s="173"/>
      <c r="L9" s="173"/>
      <c r="M9" s="174"/>
    </row>
    <row r="10" spans="1:13" ht="37.5" customHeight="1" x14ac:dyDescent="0.2">
      <c r="A10" s="175" t="str">
        <f>'Z-singlŽ'!A4</f>
        <v>1.st. U19 - ženy Skupina A</v>
      </c>
      <c r="B10" s="176"/>
      <c r="C10" s="176"/>
      <c r="D10" s="176" t="s">
        <v>34</v>
      </c>
      <c r="E10" s="176"/>
      <c r="F10" s="91" t="s">
        <v>43</v>
      </c>
      <c r="H10" s="175" t="str">
        <f>'Z-singlŽ'!A5</f>
        <v>1.st. U19 - ženy Skupina A</v>
      </c>
      <c r="I10" s="176"/>
      <c r="J10" s="176"/>
      <c r="K10" s="176" t="s">
        <v>34</v>
      </c>
      <c r="L10" s="176"/>
      <c r="M10" s="91" t="s">
        <v>44</v>
      </c>
    </row>
    <row r="11" spans="1:13" ht="37.5" customHeight="1" x14ac:dyDescent="0.2">
      <c r="A11" s="177" t="str">
        <f>CONCATENATE('Z-singlŽ'!B4," ",'Z-singlŽ'!C4," (",'Z-singlŽ'!D4,")")</f>
        <v>0 ---------- ()</v>
      </c>
      <c r="B11" s="178"/>
      <c r="C11" s="179"/>
      <c r="D11" s="176" t="str">
        <f>CONCATENATE('Z-singl'!E4," ",'Z-singl'!F4," (",'Z-singl'!G4,")")</f>
        <v>21 Lokaj David (Letonice)</v>
      </c>
      <c r="E11" s="176"/>
      <c r="F11" s="180"/>
      <c r="H11" s="177" t="str">
        <f>CONCATENATE('Z-singlŽ'!B5," ",'Z-singlŽ'!C5," (",'Z-singlŽ'!D5,")")</f>
        <v>41 Sobotíková Monika (MS Brno)</v>
      </c>
      <c r="I11" s="178"/>
      <c r="J11" s="179"/>
      <c r="K11" s="176" t="str">
        <f>CONCATENATE('Z-singlŽ'!E5," ",'Z-singlŽ'!F5," (",'Z-singlŽ'!G5,")")</f>
        <v>47 Mazalová Kristýna (KST Blansko)</v>
      </c>
      <c r="L11" s="176"/>
      <c r="M11" s="180"/>
    </row>
    <row r="12" spans="1:13" ht="21.75" customHeight="1" x14ac:dyDescent="0.2">
      <c r="A12" s="166"/>
      <c r="B12" s="167"/>
      <c r="C12" s="167"/>
      <c r="D12" s="167"/>
      <c r="E12" s="167"/>
      <c r="F12" s="168"/>
      <c r="G12" s="93"/>
      <c r="H12" s="166"/>
      <c r="I12" s="167"/>
      <c r="J12" s="167"/>
      <c r="K12" s="167"/>
      <c r="L12" s="167"/>
      <c r="M12" s="168"/>
    </row>
    <row r="13" spans="1:13" x14ac:dyDescent="0.2">
      <c r="A13" s="94" t="s">
        <v>26</v>
      </c>
      <c r="B13" s="95" t="s">
        <v>27</v>
      </c>
      <c r="C13" s="95" t="s">
        <v>28</v>
      </c>
      <c r="D13" s="95" t="s">
        <v>29</v>
      </c>
      <c r="E13" s="95" t="s">
        <v>30</v>
      </c>
      <c r="F13" s="96" t="s">
        <v>31</v>
      </c>
      <c r="H13" s="94" t="s">
        <v>26</v>
      </c>
      <c r="I13" s="95" t="s">
        <v>27</v>
      </c>
      <c r="J13" s="95" t="s">
        <v>28</v>
      </c>
      <c r="K13" s="95" t="s">
        <v>29</v>
      </c>
      <c r="L13" s="95" t="s">
        <v>30</v>
      </c>
      <c r="M13" s="96" t="s">
        <v>31</v>
      </c>
    </row>
    <row r="14" spans="1:13" ht="36" customHeight="1" x14ac:dyDescent="0.2">
      <c r="A14" s="97"/>
      <c r="B14" s="98"/>
      <c r="C14" s="98"/>
      <c r="D14" s="98"/>
      <c r="E14" s="98"/>
      <c r="F14" s="99"/>
      <c r="H14" s="97"/>
      <c r="I14" s="98"/>
      <c r="J14" s="98"/>
      <c r="K14" s="98"/>
      <c r="L14" s="98"/>
      <c r="M14" s="99"/>
    </row>
    <row r="15" spans="1:13" ht="36" customHeight="1" thickBot="1" x14ac:dyDescent="0.25">
      <c r="A15" s="169" t="s">
        <v>32</v>
      </c>
      <c r="B15" s="170"/>
      <c r="C15" s="170"/>
      <c r="D15" s="170" t="s">
        <v>33</v>
      </c>
      <c r="E15" s="170"/>
      <c r="F15" s="171"/>
      <c r="H15" s="169" t="s">
        <v>32</v>
      </c>
      <c r="I15" s="170"/>
      <c r="J15" s="170"/>
      <c r="K15" s="170" t="s">
        <v>33</v>
      </c>
      <c r="L15" s="170"/>
      <c r="M15" s="171"/>
    </row>
    <row r="16" spans="1:13" ht="18.75" customHeight="1" thickTop="1" thickBot="1" x14ac:dyDescent="0.25"/>
    <row r="17" spans="1:13" ht="37.5" customHeight="1" thickTop="1" x14ac:dyDescent="0.2">
      <c r="A17" s="172" t="str">
        <f>úvod!$C$6</f>
        <v>Krajské přebory</v>
      </c>
      <c r="B17" s="173"/>
      <c r="C17" s="173"/>
      <c r="D17" s="173"/>
      <c r="E17" s="173"/>
      <c r="F17" s="174"/>
      <c r="H17" s="172" t="str">
        <f>úvod!$C$6</f>
        <v>Krajské přebory</v>
      </c>
      <c r="I17" s="173"/>
      <c r="J17" s="173"/>
      <c r="K17" s="173"/>
      <c r="L17" s="173"/>
      <c r="M17" s="174"/>
    </row>
    <row r="18" spans="1:13" ht="37.5" customHeight="1" x14ac:dyDescent="0.2">
      <c r="A18" s="175" t="str">
        <f>'Z-singlŽ'!A6</f>
        <v>1.st. U19 - ženy Skupina A</v>
      </c>
      <c r="B18" s="176"/>
      <c r="C18" s="176"/>
      <c r="D18" s="176" t="s">
        <v>34</v>
      </c>
      <c r="E18" s="176"/>
      <c r="F18" s="91" t="s">
        <v>45</v>
      </c>
      <c r="H18" s="175" t="str">
        <f>'Z-singlŽ'!A7</f>
        <v>1.st. U19 - ženy Skupina A</v>
      </c>
      <c r="I18" s="176"/>
      <c r="J18" s="176"/>
      <c r="K18" s="176" t="s">
        <v>34</v>
      </c>
      <c r="L18" s="176"/>
      <c r="M18" s="91" t="s">
        <v>46</v>
      </c>
    </row>
    <row r="19" spans="1:13" ht="37.5" customHeight="1" x14ac:dyDescent="0.2">
      <c r="A19" s="177" t="str">
        <f>CONCATENATE('Z-singlŽ'!B6," ",'Z-singlŽ'!C6," (",'Z-singlŽ'!D6,")")</f>
        <v>47 Mazalová Kristýna (KST Blansko)</v>
      </c>
      <c r="B19" s="178"/>
      <c r="C19" s="179"/>
      <c r="D19" s="176" t="str">
        <f>CONCATENATE('Z-singlŽ'!E6," ",'Z-singlŽ'!F6," (",'Z-singlŽ'!G6,")")</f>
        <v>0 ---------- ()</v>
      </c>
      <c r="E19" s="176"/>
      <c r="F19" s="180"/>
      <c r="H19" s="177" t="str">
        <f>CONCATENATE('Z-singlŽ'!B7," ",'Z-singlŽ'!C7," (",'Z-singlŽ'!D7,")")</f>
        <v>46 Masopustová Lucie (MSK Břeclav)</v>
      </c>
      <c r="I19" s="178"/>
      <c r="J19" s="179"/>
      <c r="K19" s="176" t="str">
        <f>CONCATENATE('Z-singlŽ'!E7," ",'Z-singlŽ'!F7," (",'Z-singlŽ'!G7,")")</f>
        <v>41 Sobotíková Monika (MS Brno)</v>
      </c>
      <c r="L19" s="176"/>
      <c r="M19" s="180"/>
    </row>
    <row r="20" spans="1:13" ht="20.25" customHeight="1" x14ac:dyDescent="0.2">
      <c r="A20" s="166"/>
      <c r="B20" s="167"/>
      <c r="C20" s="167"/>
      <c r="D20" s="167"/>
      <c r="E20" s="167"/>
      <c r="F20" s="168"/>
      <c r="G20" s="93"/>
      <c r="H20" s="166"/>
      <c r="I20" s="167"/>
      <c r="J20" s="167"/>
      <c r="K20" s="167"/>
      <c r="L20" s="167"/>
      <c r="M20" s="168"/>
    </row>
    <row r="21" spans="1:13" x14ac:dyDescent="0.2">
      <c r="A21" s="94" t="s">
        <v>26</v>
      </c>
      <c r="B21" s="95" t="s">
        <v>27</v>
      </c>
      <c r="C21" s="95" t="s">
        <v>28</v>
      </c>
      <c r="D21" s="95" t="s">
        <v>29</v>
      </c>
      <c r="E21" s="95" t="s">
        <v>30</v>
      </c>
      <c r="F21" s="96" t="s">
        <v>31</v>
      </c>
      <c r="H21" s="94" t="s">
        <v>26</v>
      </c>
      <c r="I21" s="95" t="s">
        <v>27</v>
      </c>
      <c r="J21" s="95" t="s">
        <v>28</v>
      </c>
      <c r="K21" s="95" t="s">
        <v>29</v>
      </c>
      <c r="L21" s="95" t="s">
        <v>30</v>
      </c>
      <c r="M21" s="96" t="s">
        <v>31</v>
      </c>
    </row>
    <row r="22" spans="1:13" ht="36" customHeight="1" x14ac:dyDescent="0.2">
      <c r="A22" s="97"/>
      <c r="B22" s="98"/>
      <c r="C22" s="98"/>
      <c r="D22" s="98"/>
      <c r="E22" s="98"/>
      <c r="F22" s="99"/>
      <c r="H22" s="97"/>
      <c r="I22" s="98"/>
      <c r="J22" s="98"/>
      <c r="K22" s="98"/>
      <c r="L22" s="98"/>
      <c r="M22" s="99"/>
    </row>
    <row r="23" spans="1:13" ht="36" customHeight="1" thickBot="1" x14ac:dyDescent="0.25">
      <c r="A23" s="169" t="s">
        <v>32</v>
      </c>
      <c r="B23" s="170"/>
      <c r="C23" s="170"/>
      <c r="D23" s="170" t="s">
        <v>33</v>
      </c>
      <c r="E23" s="170"/>
      <c r="F23" s="171"/>
      <c r="H23" s="169" t="s">
        <v>32</v>
      </c>
      <c r="I23" s="170"/>
      <c r="J23" s="170"/>
      <c r="K23" s="170" t="s">
        <v>33</v>
      </c>
      <c r="L23" s="170"/>
      <c r="M23" s="171"/>
    </row>
    <row r="24" spans="1:13" ht="12" customHeight="1" thickTop="1" thickBot="1" x14ac:dyDescent="0.25"/>
    <row r="25" spans="1:13" ht="37.5" customHeight="1" thickTop="1" x14ac:dyDescent="0.2">
      <c r="A25" s="172" t="str">
        <f>úvod!$C$6</f>
        <v>Krajské přebory</v>
      </c>
      <c r="B25" s="173"/>
      <c r="C25" s="173"/>
      <c r="D25" s="173"/>
      <c r="E25" s="173"/>
      <c r="F25" s="174"/>
      <c r="H25" s="172" t="str">
        <f>úvod!$C$6</f>
        <v>Krajské přebory</v>
      </c>
      <c r="I25" s="173"/>
      <c r="J25" s="173"/>
      <c r="K25" s="173"/>
      <c r="L25" s="173"/>
      <c r="M25" s="174"/>
    </row>
    <row r="26" spans="1:13" ht="37.5" customHeight="1" x14ac:dyDescent="0.2">
      <c r="A26" s="175" t="str">
        <f>'Z-singlŽ'!A8</f>
        <v>1.st. U19 - ženy Skupina B</v>
      </c>
      <c r="B26" s="176"/>
      <c r="C26" s="176"/>
      <c r="D26" s="176" t="s">
        <v>34</v>
      </c>
      <c r="E26" s="176"/>
      <c r="F26" s="91" t="s">
        <v>41</v>
      </c>
      <c r="H26" s="175" t="str">
        <f>'Z-singlŽ'!A9</f>
        <v>1.st. U19 - ženy Skupina B</v>
      </c>
      <c r="I26" s="176"/>
      <c r="J26" s="176"/>
      <c r="K26" s="176" t="s">
        <v>34</v>
      </c>
      <c r="L26" s="176"/>
      <c r="M26" s="91" t="s">
        <v>42</v>
      </c>
    </row>
    <row r="27" spans="1:13" ht="37.5" customHeight="1" x14ac:dyDescent="0.2">
      <c r="A27" s="177" t="str">
        <f>CONCATENATE('Z-singlŽ'!B8," ",'Z-singlŽ'!C8," (",'Z-singlŽ'!D8,")")</f>
        <v>42 Novohradská Karolína (KST Blansko)</v>
      </c>
      <c r="B27" s="178"/>
      <c r="C27" s="179"/>
      <c r="D27" s="176" t="str">
        <f>CONCATENATE('Z-singlŽ'!E8," ",'Z-singlŽ'!F8," (",'Z-singlŽ'!G8,")")</f>
        <v>52 Habáňová Michaela (KST Blansko)</v>
      </c>
      <c r="E27" s="176"/>
      <c r="F27" s="180"/>
      <c r="H27" s="177" t="str">
        <f>CONCATENATE('Z-singlŽ'!B9," ",'Z-singlŽ'!C9," (",'Z-singlŽ'!D9,")")</f>
        <v>48 Kotásková Kristýna (TJ Mikulčice)</v>
      </c>
      <c r="I27" s="178"/>
      <c r="J27" s="179"/>
      <c r="K27" s="176" t="str">
        <f>CONCATENATE('Z-singlŽ'!E9," ",'Z-singlŽ'!F9," (",'Z-singlŽ'!G9,")")</f>
        <v>44 Novotná Eliška (SKST Hodonín)</v>
      </c>
      <c r="L27" s="176"/>
      <c r="M27" s="180"/>
    </row>
    <row r="28" spans="1:13" ht="21.75" customHeight="1" x14ac:dyDescent="0.2">
      <c r="A28" s="166"/>
      <c r="B28" s="167"/>
      <c r="C28" s="167"/>
      <c r="D28" s="167"/>
      <c r="E28" s="167"/>
      <c r="F28" s="168"/>
      <c r="G28" s="93"/>
      <c r="H28" s="166"/>
      <c r="I28" s="167"/>
      <c r="J28" s="167"/>
      <c r="K28" s="167"/>
      <c r="L28" s="167"/>
      <c r="M28" s="168"/>
    </row>
    <row r="29" spans="1:13" x14ac:dyDescent="0.2">
      <c r="A29" s="94" t="s">
        <v>26</v>
      </c>
      <c r="B29" s="95" t="s">
        <v>27</v>
      </c>
      <c r="C29" s="95" t="s">
        <v>28</v>
      </c>
      <c r="D29" s="95" t="s">
        <v>29</v>
      </c>
      <c r="E29" s="95" t="s">
        <v>30</v>
      </c>
      <c r="F29" s="96" t="s">
        <v>31</v>
      </c>
      <c r="H29" s="94" t="s">
        <v>26</v>
      </c>
      <c r="I29" s="95" t="s">
        <v>27</v>
      </c>
      <c r="J29" s="95" t="s">
        <v>28</v>
      </c>
      <c r="K29" s="95" t="s">
        <v>29</v>
      </c>
      <c r="L29" s="95" t="s">
        <v>30</v>
      </c>
      <c r="M29" s="96" t="s">
        <v>31</v>
      </c>
    </row>
    <row r="30" spans="1:13" ht="36" customHeight="1" x14ac:dyDescent="0.2">
      <c r="A30" s="97"/>
      <c r="B30" s="98"/>
      <c r="C30" s="98"/>
      <c r="D30" s="98"/>
      <c r="E30" s="98"/>
      <c r="F30" s="99"/>
      <c r="H30" s="97"/>
      <c r="I30" s="98"/>
      <c r="J30" s="98"/>
      <c r="K30" s="98"/>
      <c r="L30" s="98"/>
      <c r="M30" s="99"/>
    </row>
    <row r="31" spans="1:13" ht="36" customHeight="1" thickBot="1" x14ac:dyDescent="0.25">
      <c r="A31" s="169" t="s">
        <v>32</v>
      </c>
      <c r="B31" s="170"/>
      <c r="C31" s="170"/>
      <c r="D31" s="170" t="s">
        <v>33</v>
      </c>
      <c r="E31" s="170"/>
      <c r="F31" s="171"/>
      <c r="H31" s="169" t="s">
        <v>32</v>
      </c>
      <c r="I31" s="170"/>
      <c r="J31" s="170"/>
      <c r="K31" s="170" t="s">
        <v>33</v>
      </c>
      <c r="L31" s="170"/>
      <c r="M31" s="171"/>
    </row>
    <row r="32" spans="1:13" ht="14.25" thickTop="1" thickBot="1" x14ac:dyDescent="0.25"/>
    <row r="33" spans="1:13" ht="37.5" customHeight="1" thickTop="1" x14ac:dyDescent="0.2">
      <c r="A33" s="172" t="str">
        <f>úvod!$C$6</f>
        <v>Krajské přebory</v>
      </c>
      <c r="B33" s="173"/>
      <c r="C33" s="173"/>
      <c r="D33" s="173"/>
      <c r="E33" s="173"/>
      <c r="F33" s="174"/>
      <c r="H33" s="172" t="str">
        <f>úvod!$C$6</f>
        <v>Krajské přebory</v>
      </c>
      <c r="I33" s="173"/>
      <c r="J33" s="173"/>
      <c r="K33" s="173"/>
      <c r="L33" s="173"/>
      <c r="M33" s="174"/>
    </row>
    <row r="34" spans="1:13" ht="37.5" customHeight="1" x14ac:dyDescent="0.2">
      <c r="A34" s="175" t="str">
        <f>'Z-singlŽ'!A10</f>
        <v>1.st. U19 - ženy Skupina B</v>
      </c>
      <c r="B34" s="176"/>
      <c r="C34" s="176"/>
      <c r="D34" s="176" t="s">
        <v>34</v>
      </c>
      <c r="E34" s="176"/>
      <c r="F34" s="91" t="s">
        <v>43</v>
      </c>
      <c r="H34" s="175" t="str">
        <f>'Z-singlŽ'!A11</f>
        <v>1.st. U19 - ženy Skupina B</v>
      </c>
      <c r="I34" s="176"/>
      <c r="J34" s="176"/>
      <c r="K34" s="176" t="s">
        <v>34</v>
      </c>
      <c r="L34" s="176"/>
      <c r="M34" s="91" t="s">
        <v>44</v>
      </c>
    </row>
    <row r="35" spans="1:13" ht="37.5" customHeight="1" x14ac:dyDescent="0.2">
      <c r="A35" s="177" t="str">
        <f>CONCATENATE('Z-singlŽ'!B10," ",'Z-singlŽ'!C10," (",'Z-singlŽ'!D10,")")</f>
        <v>52 Habáňová Michaela (KST Blansko)</v>
      </c>
      <c r="B35" s="178"/>
      <c r="C35" s="179"/>
      <c r="D35" s="176" t="str">
        <f>CONCATENATE('Z-singlŽ'!E10," ",'Z-singlŽ'!F10," (",'Z-singlŽ'!G10,")")</f>
        <v>44 Novotná Eliška (SKST Hodonín)</v>
      </c>
      <c r="E35" s="176"/>
      <c r="F35" s="180"/>
      <c r="H35" s="177" t="str">
        <f>CONCATENATE('Z-singlŽ'!B11," ",'Z-singlŽ'!C11," (",'Z-singlŽ'!D11,")")</f>
        <v>42 Novohradská Karolína (KST Blansko)</v>
      </c>
      <c r="I35" s="178"/>
      <c r="J35" s="179"/>
      <c r="K35" s="176" t="str">
        <f>CONCATENATE('Z-singlŽ'!E11," ",'Z-singlŽ'!F11," (",'Z-singlŽ'!G11,")")</f>
        <v>48 Kotásková Kristýna (TJ Mikulčice)</v>
      </c>
      <c r="L35" s="176"/>
      <c r="M35" s="180"/>
    </row>
    <row r="36" spans="1:13" ht="21" customHeight="1" x14ac:dyDescent="0.2">
      <c r="A36" s="166"/>
      <c r="B36" s="167"/>
      <c r="C36" s="167"/>
      <c r="D36" s="167"/>
      <c r="E36" s="167"/>
      <c r="F36" s="168"/>
      <c r="G36" s="93"/>
      <c r="H36" s="166"/>
      <c r="I36" s="167"/>
      <c r="J36" s="167"/>
      <c r="K36" s="167"/>
      <c r="L36" s="167"/>
      <c r="M36" s="168"/>
    </row>
    <row r="37" spans="1:13" x14ac:dyDescent="0.2">
      <c r="A37" s="94" t="s">
        <v>26</v>
      </c>
      <c r="B37" s="95" t="s">
        <v>27</v>
      </c>
      <c r="C37" s="95" t="s">
        <v>28</v>
      </c>
      <c r="D37" s="95" t="s">
        <v>29</v>
      </c>
      <c r="E37" s="95" t="s">
        <v>30</v>
      </c>
      <c r="F37" s="96" t="s">
        <v>31</v>
      </c>
      <c r="H37" s="94" t="s">
        <v>26</v>
      </c>
      <c r="I37" s="95" t="s">
        <v>27</v>
      </c>
      <c r="J37" s="95" t="s">
        <v>28</v>
      </c>
      <c r="K37" s="95" t="s">
        <v>29</v>
      </c>
      <c r="L37" s="95" t="s">
        <v>30</v>
      </c>
      <c r="M37" s="96" t="s">
        <v>31</v>
      </c>
    </row>
    <row r="38" spans="1:13" ht="36.75" customHeight="1" x14ac:dyDescent="0.2">
      <c r="A38" s="97"/>
      <c r="B38" s="98"/>
      <c r="C38" s="98"/>
      <c r="D38" s="98"/>
      <c r="E38" s="98"/>
      <c r="F38" s="99"/>
      <c r="H38" s="97"/>
      <c r="I38" s="98"/>
      <c r="J38" s="98"/>
      <c r="K38" s="98"/>
      <c r="L38" s="98"/>
      <c r="M38" s="99"/>
    </row>
    <row r="39" spans="1:13" ht="36.75" customHeight="1" thickBot="1" x14ac:dyDescent="0.25">
      <c r="A39" s="169" t="s">
        <v>32</v>
      </c>
      <c r="B39" s="170"/>
      <c r="C39" s="170"/>
      <c r="D39" s="170" t="s">
        <v>33</v>
      </c>
      <c r="E39" s="170"/>
      <c r="F39" s="171"/>
      <c r="H39" s="169" t="s">
        <v>32</v>
      </c>
      <c r="I39" s="170"/>
      <c r="J39" s="170"/>
      <c r="K39" s="170" t="s">
        <v>33</v>
      </c>
      <c r="L39" s="170"/>
      <c r="M39" s="171"/>
    </row>
    <row r="40" spans="1:13" ht="14.25" thickTop="1" thickBot="1" x14ac:dyDescent="0.25"/>
    <row r="41" spans="1:13" ht="37.5" customHeight="1" thickTop="1" x14ac:dyDescent="0.2">
      <c r="A41" s="172" t="str">
        <f>úvod!$C$6</f>
        <v>Krajské přebory</v>
      </c>
      <c r="B41" s="173"/>
      <c r="C41" s="173"/>
      <c r="D41" s="173"/>
      <c r="E41" s="173"/>
      <c r="F41" s="174"/>
      <c r="H41" s="172" t="str">
        <f>úvod!$C$6</f>
        <v>Krajské přebory</v>
      </c>
      <c r="I41" s="173"/>
      <c r="J41" s="173"/>
      <c r="K41" s="173"/>
      <c r="L41" s="173"/>
      <c r="M41" s="174"/>
    </row>
    <row r="42" spans="1:13" ht="37.5" customHeight="1" x14ac:dyDescent="0.2">
      <c r="A42" s="175" t="str">
        <f>'Z-singlŽ'!A12</f>
        <v>1.st. U19 - ženy Skupina B</v>
      </c>
      <c r="B42" s="176"/>
      <c r="C42" s="176"/>
      <c r="D42" s="176" t="s">
        <v>34</v>
      </c>
      <c r="E42" s="176"/>
      <c r="F42" s="91" t="s">
        <v>45</v>
      </c>
      <c r="H42" s="175" t="str">
        <f>'Z-singlŽ'!A13</f>
        <v>1.st. U19 - ženy Skupina B</v>
      </c>
      <c r="I42" s="176"/>
      <c r="J42" s="176"/>
      <c r="K42" s="176" t="s">
        <v>34</v>
      </c>
      <c r="L42" s="176"/>
      <c r="M42" s="91" t="s">
        <v>46</v>
      </c>
    </row>
    <row r="43" spans="1:13" ht="37.5" customHeight="1" x14ac:dyDescent="0.2">
      <c r="A43" s="177" t="str">
        <f>CONCATENATE('Z-singlŽ'!B12," ",'Z-singlŽ'!C12," (",'Z-singlŽ'!D12,")")</f>
        <v>48 Kotásková Kristýna (TJ Mikulčice)</v>
      </c>
      <c r="B43" s="178"/>
      <c r="C43" s="179"/>
      <c r="D43" s="176" t="str">
        <f>CONCATENATE('Z-singlŽ'!E12," ",'Z-singlŽ'!F12," (",'Z-singlŽ'!G12,")")</f>
        <v>52 Habáňová Michaela (KST Blansko)</v>
      </c>
      <c r="E43" s="176"/>
      <c r="F43" s="180"/>
      <c r="H43" s="177" t="str">
        <f>CONCATENATE('Z-singlŽ'!B13," ",'Z-singlŽ'!C13," (",'Z-singlŽ'!D13,")")</f>
        <v>44 Novotná Eliška (SKST Hodonín)</v>
      </c>
      <c r="I43" s="178"/>
      <c r="J43" s="179"/>
      <c r="K43" s="176" t="str">
        <f>CONCATENATE('Z-singlŽ'!E13," ",'Z-singlŽ'!F13," (",'Z-singlŽ'!G13,")")</f>
        <v>42 Novohradská Karolína (KST Blansko)</v>
      </c>
      <c r="L43" s="176"/>
      <c r="M43" s="180"/>
    </row>
    <row r="44" spans="1:13" ht="21" customHeight="1" x14ac:dyDescent="0.2">
      <c r="A44" s="166"/>
      <c r="B44" s="167"/>
      <c r="C44" s="167"/>
      <c r="D44" s="167"/>
      <c r="E44" s="167"/>
      <c r="F44" s="168"/>
      <c r="G44" s="93"/>
      <c r="H44" s="166"/>
      <c r="I44" s="167"/>
      <c r="J44" s="167"/>
      <c r="K44" s="167"/>
      <c r="L44" s="167"/>
      <c r="M44" s="168"/>
    </row>
    <row r="45" spans="1:13" x14ac:dyDescent="0.2">
      <c r="A45" s="94" t="s">
        <v>26</v>
      </c>
      <c r="B45" s="95" t="s">
        <v>27</v>
      </c>
      <c r="C45" s="95" t="s">
        <v>28</v>
      </c>
      <c r="D45" s="95" t="s">
        <v>29</v>
      </c>
      <c r="E45" s="95" t="s">
        <v>30</v>
      </c>
      <c r="F45" s="96" t="s">
        <v>31</v>
      </c>
      <c r="H45" s="94" t="s">
        <v>26</v>
      </c>
      <c r="I45" s="95" t="s">
        <v>27</v>
      </c>
      <c r="J45" s="95" t="s">
        <v>28</v>
      </c>
      <c r="K45" s="95" t="s">
        <v>29</v>
      </c>
      <c r="L45" s="95" t="s">
        <v>30</v>
      </c>
      <c r="M45" s="96" t="s">
        <v>31</v>
      </c>
    </row>
    <row r="46" spans="1:13" ht="36.75" customHeight="1" x14ac:dyDescent="0.2">
      <c r="A46" s="97"/>
      <c r="B46" s="98"/>
      <c r="C46" s="98"/>
      <c r="D46" s="98"/>
      <c r="E46" s="98"/>
      <c r="F46" s="99"/>
      <c r="H46" s="97"/>
      <c r="I46" s="98"/>
      <c r="J46" s="98"/>
      <c r="K46" s="98"/>
      <c r="L46" s="98"/>
      <c r="M46" s="99"/>
    </row>
    <row r="47" spans="1:13" ht="36.75" customHeight="1" thickBot="1" x14ac:dyDescent="0.25">
      <c r="A47" s="169" t="s">
        <v>32</v>
      </c>
      <c r="B47" s="170"/>
      <c r="C47" s="170"/>
      <c r="D47" s="170" t="s">
        <v>33</v>
      </c>
      <c r="E47" s="170"/>
      <c r="F47" s="171"/>
      <c r="H47" s="169" t="s">
        <v>32</v>
      </c>
      <c r="I47" s="170"/>
      <c r="J47" s="170"/>
      <c r="K47" s="170" t="s">
        <v>33</v>
      </c>
      <c r="L47" s="170"/>
      <c r="M47" s="171"/>
    </row>
    <row r="48" spans="1:13" ht="14.25" thickTop="1" thickBot="1" x14ac:dyDescent="0.25"/>
    <row r="49" spans="1:13" ht="26.25" thickTop="1" x14ac:dyDescent="0.2">
      <c r="A49" s="172" t="str">
        <f>úvod!$C$6</f>
        <v>Krajské přebory</v>
      </c>
      <c r="B49" s="173"/>
      <c r="C49" s="173"/>
      <c r="D49" s="173"/>
      <c r="E49" s="173"/>
      <c r="F49" s="174"/>
      <c r="H49" s="172" t="str">
        <f>úvod!$C$6</f>
        <v>Krajské přebory</v>
      </c>
      <c r="I49" s="173"/>
      <c r="J49" s="173"/>
      <c r="K49" s="173"/>
      <c r="L49" s="173"/>
      <c r="M49" s="174"/>
    </row>
    <row r="50" spans="1:13" ht="36" customHeight="1" x14ac:dyDescent="0.2">
      <c r="A50" s="175" t="str">
        <f>'Z-singlŽ'!A14</f>
        <v>1.st. U19 - ženy Skupina C</v>
      </c>
      <c r="B50" s="176"/>
      <c r="C50" s="176"/>
      <c r="D50" s="176" t="s">
        <v>34</v>
      </c>
      <c r="E50" s="176"/>
      <c r="F50" s="91" t="s">
        <v>41</v>
      </c>
      <c r="H50" s="175" t="str">
        <f>'Z-singlŽ'!A15</f>
        <v>1.st. U19 - ženy Skupina C</v>
      </c>
      <c r="I50" s="176"/>
      <c r="J50" s="176"/>
      <c r="K50" s="176" t="s">
        <v>34</v>
      </c>
      <c r="L50" s="176"/>
      <c r="M50" s="91" t="s">
        <v>42</v>
      </c>
    </row>
    <row r="51" spans="1:13" ht="36" customHeight="1" x14ac:dyDescent="0.25">
      <c r="A51" s="177" t="str">
        <f>CONCATENATE('Z-singlŽ'!B14," ",'Z-singlŽ'!C14," (",'Z-singlŽ'!D14,")")</f>
        <v>43 Holubová Simona (SKST Hodonín)</v>
      </c>
      <c r="B51" s="178"/>
      <c r="C51" s="179"/>
      <c r="D51" s="176" t="str">
        <f>CONCATENATE('Z-singlŽ'!E14," ",'Z-singlŽ'!F14," (",'Z-singlŽ'!G14,")")</f>
        <v>51 Bedřichová Ema (Klobouky u Brna)</v>
      </c>
      <c r="E51" s="176"/>
      <c r="F51" s="180"/>
      <c r="G51" s="92"/>
      <c r="H51" s="177" t="str">
        <f>CONCATENATE('Z-singlŽ'!B15," ",'Z-singlŽ'!C15," (",'Z-singlŽ'!D15,")")</f>
        <v>49 Pilitowská Lea (KST Blansko)</v>
      </c>
      <c r="I51" s="178"/>
      <c r="J51" s="179"/>
      <c r="K51" s="176" t="str">
        <f>CONCATENATE('Z-singlŽ'!E15," ",'Z-singlŽ'!F15," (",'Z-singlŽ'!G15,")")</f>
        <v>45 Dreits Anastasiia (Tišnov)</v>
      </c>
      <c r="L51" s="176"/>
      <c r="M51" s="180"/>
    </row>
    <row r="52" spans="1:13" ht="21" customHeight="1" x14ac:dyDescent="0.2">
      <c r="A52" s="166"/>
      <c r="B52" s="167"/>
      <c r="C52" s="167"/>
      <c r="D52" s="167"/>
      <c r="E52" s="167"/>
      <c r="F52" s="168"/>
      <c r="G52" s="93"/>
      <c r="H52" s="166"/>
      <c r="I52" s="167"/>
      <c r="J52" s="167"/>
      <c r="K52" s="167"/>
      <c r="L52" s="167"/>
      <c r="M52" s="168"/>
    </row>
    <row r="53" spans="1:13" x14ac:dyDescent="0.2">
      <c r="A53" s="94" t="s">
        <v>26</v>
      </c>
      <c r="B53" s="95" t="s">
        <v>27</v>
      </c>
      <c r="C53" s="95" t="s">
        <v>28</v>
      </c>
      <c r="D53" s="95" t="s">
        <v>29</v>
      </c>
      <c r="E53" s="95" t="s">
        <v>30</v>
      </c>
      <c r="F53" s="96" t="s">
        <v>31</v>
      </c>
      <c r="H53" s="94" t="s">
        <v>26</v>
      </c>
      <c r="I53" s="95" t="s">
        <v>27</v>
      </c>
      <c r="J53" s="95" t="s">
        <v>28</v>
      </c>
      <c r="K53" s="95" t="s">
        <v>29</v>
      </c>
      <c r="L53" s="95" t="s">
        <v>30</v>
      </c>
      <c r="M53" s="96" t="s">
        <v>31</v>
      </c>
    </row>
    <row r="54" spans="1:13" ht="36.75" customHeight="1" x14ac:dyDescent="0.2">
      <c r="A54" s="97"/>
      <c r="B54" s="98"/>
      <c r="C54" s="98"/>
      <c r="D54" s="98"/>
      <c r="E54" s="98"/>
      <c r="F54" s="99"/>
      <c r="H54" s="97"/>
      <c r="I54" s="98"/>
      <c r="J54" s="98"/>
      <c r="K54" s="98"/>
      <c r="L54" s="98"/>
      <c r="M54" s="99"/>
    </row>
    <row r="55" spans="1:13" ht="36.75" customHeight="1" thickBot="1" x14ac:dyDescent="0.25">
      <c r="A55" s="169" t="s">
        <v>32</v>
      </c>
      <c r="B55" s="170"/>
      <c r="C55" s="170"/>
      <c r="D55" s="170" t="s">
        <v>33</v>
      </c>
      <c r="E55" s="170"/>
      <c r="F55" s="171"/>
      <c r="H55" s="169" t="s">
        <v>32</v>
      </c>
      <c r="I55" s="170"/>
      <c r="J55" s="170"/>
      <c r="K55" s="170" t="s">
        <v>33</v>
      </c>
      <c r="L55" s="170"/>
      <c r="M55" s="171"/>
    </row>
    <row r="56" spans="1:13" ht="14.25" thickTop="1" thickBot="1" x14ac:dyDescent="0.25"/>
    <row r="57" spans="1:13" ht="37.5" customHeight="1" thickTop="1" x14ac:dyDescent="0.2">
      <c r="A57" s="172" t="str">
        <f>úvod!$C$6</f>
        <v>Krajské přebory</v>
      </c>
      <c r="B57" s="173"/>
      <c r="C57" s="173"/>
      <c r="D57" s="173"/>
      <c r="E57" s="173"/>
      <c r="F57" s="174"/>
      <c r="H57" s="172" t="str">
        <f>úvod!$C$6</f>
        <v>Krajské přebory</v>
      </c>
      <c r="I57" s="173"/>
      <c r="J57" s="173"/>
      <c r="K57" s="173"/>
      <c r="L57" s="173"/>
      <c r="M57" s="174"/>
    </row>
    <row r="58" spans="1:13" ht="37.5" customHeight="1" x14ac:dyDescent="0.2">
      <c r="A58" s="175" t="str">
        <f>'Z-singlŽ'!A16</f>
        <v>1.st. U19 - ženy Skupina C</v>
      </c>
      <c r="B58" s="176"/>
      <c r="C58" s="176"/>
      <c r="D58" s="176" t="s">
        <v>34</v>
      </c>
      <c r="E58" s="176"/>
      <c r="F58" s="91" t="s">
        <v>43</v>
      </c>
      <c r="H58" s="175" t="str">
        <f>'Z-singlŽ'!A17</f>
        <v>1.st. U19 - ženy Skupina C</v>
      </c>
      <c r="I58" s="176"/>
      <c r="J58" s="176"/>
      <c r="K58" s="176" t="s">
        <v>34</v>
      </c>
      <c r="L58" s="176"/>
      <c r="M58" s="91" t="s">
        <v>44</v>
      </c>
    </row>
    <row r="59" spans="1:13" ht="37.5" customHeight="1" x14ac:dyDescent="0.2">
      <c r="A59" s="177" t="str">
        <f>CONCATENATE('Z-singlŽ'!B16," ",'Z-singlŽ'!C16," (",'Z-singlŽ'!D16,")")</f>
        <v>51 Bedřichová Ema (Klobouky u Brna)</v>
      </c>
      <c r="B59" s="178"/>
      <c r="C59" s="179"/>
      <c r="D59" s="176" t="str">
        <f>CONCATENATE('Z-singlŽ'!E16," ",'Z-singlŽ'!F16," (",'Z-singlŽ'!G16,")")</f>
        <v>45 Dreits Anastasiia (Tišnov)</v>
      </c>
      <c r="E59" s="176"/>
      <c r="F59" s="180"/>
      <c r="H59" s="177" t="str">
        <f>CONCATENATE('Z-singlŽ'!B17," ",'Z-singlŽ'!C17," (",'Z-singlŽ'!D17,")")</f>
        <v>43 Holubová Simona (SKST Hodonín)</v>
      </c>
      <c r="I59" s="178"/>
      <c r="J59" s="179"/>
      <c r="K59" s="176" t="str">
        <f>CONCATENATE('Z-singlŽ'!E17," ",'Z-singlŽ'!F17," (",'Z-singlŽ'!G17,")")</f>
        <v>49 Pilitowská Lea (KST Blansko)</v>
      </c>
      <c r="L59" s="176"/>
      <c r="M59" s="180"/>
    </row>
    <row r="60" spans="1:13" ht="21" customHeight="1" x14ac:dyDescent="0.2">
      <c r="A60" s="166"/>
      <c r="B60" s="167"/>
      <c r="C60" s="167"/>
      <c r="D60" s="167"/>
      <c r="E60" s="167"/>
      <c r="F60" s="168"/>
      <c r="G60" s="93"/>
      <c r="H60" s="166"/>
      <c r="I60" s="167"/>
      <c r="J60" s="167"/>
      <c r="K60" s="167"/>
      <c r="L60" s="167"/>
      <c r="M60" s="168"/>
    </row>
    <row r="61" spans="1:13" x14ac:dyDescent="0.2">
      <c r="A61" s="94" t="s">
        <v>26</v>
      </c>
      <c r="B61" s="95" t="s">
        <v>27</v>
      </c>
      <c r="C61" s="95" t="s">
        <v>28</v>
      </c>
      <c r="D61" s="95" t="s">
        <v>29</v>
      </c>
      <c r="E61" s="95" t="s">
        <v>30</v>
      </c>
      <c r="F61" s="96" t="s">
        <v>31</v>
      </c>
      <c r="H61" s="94" t="s">
        <v>26</v>
      </c>
      <c r="I61" s="95" t="s">
        <v>27</v>
      </c>
      <c r="J61" s="95" t="s">
        <v>28</v>
      </c>
      <c r="K61" s="95" t="s">
        <v>29</v>
      </c>
      <c r="L61" s="95" t="s">
        <v>30</v>
      </c>
      <c r="M61" s="96" t="s">
        <v>31</v>
      </c>
    </row>
    <row r="62" spans="1:13" ht="36.75" customHeight="1" x14ac:dyDescent="0.2">
      <c r="A62" s="97"/>
      <c r="B62" s="98"/>
      <c r="C62" s="98"/>
      <c r="D62" s="98"/>
      <c r="E62" s="98"/>
      <c r="F62" s="99"/>
      <c r="H62" s="97"/>
      <c r="I62" s="98"/>
      <c r="J62" s="98"/>
      <c r="K62" s="98"/>
      <c r="L62" s="98"/>
      <c r="M62" s="99"/>
    </row>
    <row r="63" spans="1:13" ht="36.75" customHeight="1" thickBot="1" x14ac:dyDescent="0.25">
      <c r="A63" s="169" t="s">
        <v>32</v>
      </c>
      <c r="B63" s="170"/>
      <c r="C63" s="170"/>
      <c r="D63" s="170" t="s">
        <v>33</v>
      </c>
      <c r="E63" s="170"/>
      <c r="F63" s="171"/>
      <c r="H63" s="169" t="s">
        <v>32</v>
      </c>
      <c r="I63" s="170"/>
      <c r="J63" s="170"/>
      <c r="K63" s="170" t="s">
        <v>33</v>
      </c>
      <c r="L63" s="170"/>
      <c r="M63" s="171"/>
    </row>
    <row r="64" spans="1:13" ht="14.25" thickTop="1" thickBot="1" x14ac:dyDescent="0.25"/>
    <row r="65" spans="1:13" ht="37.5" customHeight="1" thickTop="1" x14ac:dyDescent="0.2">
      <c r="A65" s="172" t="str">
        <f>úvod!$C$6</f>
        <v>Krajské přebory</v>
      </c>
      <c r="B65" s="173"/>
      <c r="C65" s="173"/>
      <c r="D65" s="173"/>
      <c r="E65" s="173"/>
      <c r="F65" s="174"/>
      <c r="H65" s="172" t="str">
        <f>úvod!$C$6</f>
        <v>Krajské přebory</v>
      </c>
      <c r="I65" s="173"/>
      <c r="J65" s="173"/>
      <c r="K65" s="173"/>
      <c r="L65" s="173"/>
      <c r="M65" s="174"/>
    </row>
    <row r="66" spans="1:13" ht="37.5" customHeight="1" x14ac:dyDescent="0.2">
      <c r="A66" s="175" t="str">
        <f>'Z-singlŽ'!A18</f>
        <v>1.st. U19 - ženy Skupina C</v>
      </c>
      <c r="B66" s="176"/>
      <c r="C66" s="176"/>
      <c r="D66" s="176" t="s">
        <v>34</v>
      </c>
      <c r="E66" s="176"/>
      <c r="F66" s="91" t="s">
        <v>45</v>
      </c>
      <c r="H66" s="175" t="str">
        <f>'Z-singlŽ'!A19</f>
        <v>1.st. U19 - ženy Skupina C</v>
      </c>
      <c r="I66" s="176"/>
      <c r="J66" s="176"/>
      <c r="K66" s="176" t="s">
        <v>34</v>
      </c>
      <c r="L66" s="176"/>
      <c r="M66" s="91" t="s">
        <v>46</v>
      </c>
    </row>
    <row r="67" spans="1:13" ht="37.5" customHeight="1" x14ac:dyDescent="0.2">
      <c r="A67" s="177" t="str">
        <f>CONCATENATE('Z-singlŽ'!B18," ",'Z-singlŽ'!C18," (",'Z-singlŽ'!D18,")")</f>
        <v>49 Pilitowská Lea (KST Blansko)</v>
      </c>
      <c r="B67" s="178"/>
      <c r="C67" s="179"/>
      <c r="D67" s="176" t="str">
        <f>CONCATENATE('Z-singlŽ'!E18," ",'Z-singlŽ'!F18," (",'Z-singlŽ'!G18,")")</f>
        <v>51 Bedřichová Ema (Klobouky u Brna)</v>
      </c>
      <c r="E67" s="176"/>
      <c r="F67" s="180"/>
      <c r="H67" s="177" t="str">
        <f>CONCATENATE('Z-singlŽ'!B19," ",'Z-singlŽ'!C19," (",'Z-singlŽ'!D19,")")</f>
        <v>45 Dreits Anastasiia (Tišnov)</v>
      </c>
      <c r="I67" s="178"/>
      <c r="J67" s="179"/>
      <c r="K67" s="176" t="str">
        <f>CONCATENATE('Z-singlŽ'!E19," ",'Z-singlŽ'!F19," (",'Z-singlŽ'!G19,")")</f>
        <v>43 Holubová Simona (SKST Hodonín)</v>
      </c>
      <c r="L67" s="176"/>
      <c r="M67" s="180"/>
    </row>
    <row r="68" spans="1:13" ht="21" customHeight="1" x14ac:dyDescent="0.2">
      <c r="A68" s="166"/>
      <c r="B68" s="167"/>
      <c r="C68" s="167"/>
      <c r="D68" s="167"/>
      <c r="E68" s="167"/>
      <c r="F68" s="168"/>
      <c r="G68" s="93"/>
      <c r="H68" s="166"/>
      <c r="I68" s="167"/>
      <c r="J68" s="167"/>
      <c r="K68" s="167"/>
      <c r="L68" s="167"/>
      <c r="M68" s="168"/>
    </row>
    <row r="69" spans="1:13" x14ac:dyDescent="0.2">
      <c r="A69" s="94" t="s">
        <v>26</v>
      </c>
      <c r="B69" s="95" t="s">
        <v>27</v>
      </c>
      <c r="C69" s="95" t="s">
        <v>28</v>
      </c>
      <c r="D69" s="95" t="s">
        <v>29</v>
      </c>
      <c r="E69" s="95" t="s">
        <v>30</v>
      </c>
      <c r="F69" s="96" t="s">
        <v>31</v>
      </c>
      <c r="H69" s="94" t="s">
        <v>26</v>
      </c>
      <c r="I69" s="95" t="s">
        <v>27</v>
      </c>
      <c r="J69" s="95" t="s">
        <v>28</v>
      </c>
      <c r="K69" s="95" t="s">
        <v>29</v>
      </c>
      <c r="L69" s="95" t="s">
        <v>30</v>
      </c>
      <c r="M69" s="96" t="s">
        <v>31</v>
      </c>
    </row>
    <row r="70" spans="1:13" ht="36.75" customHeight="1" x14ac:dyDescent="0.2">
      <c r="A70" s="97"/>
      <c r="B70" s="98"/>
      <c r="C70" s="98"/>
      <c r="D70" s="98"/>
      <c r="E70" s="98"/>
      <c r="F70" s="99"/>
      <c r="H70" s="97"/>
      <c r="I70" s="98"/>
      <c r="J70" s="98"/>
      <c r="K70" s="98"/>
      <c r="L70" s="98"/>
      <c r="M70" s="99"/>
    </row>
    <row r="71" spans="1:13" ht="36.75" customHeight="1" thickBot="1" x14ac:dyDescent="0.25">
      <c r="A71" s="169" t="s">
        <v>32</v>
      </c>
      <c r="B71" s="170"/>
      <c r="C71" s="170"/>
      <c r="D71" s="170" t="s">
        <v>33</v>
      </c>
      <c r="E71" s="170"/>
      <c r="F71" s="171"/>
      <c r="H71" s="169" t="s">
        <v>32</v>
      </c>
      <c r="I71" s="170"/>
      <c r="J71" s="170"/>
      <c r="K71" s="170" t="s">
        <v>33</v>
      </c>
      <c r="L71" s="170"/>
      <c r="M71" s="171"/>
    </row>
    <row r="72" spans="1:13" ht="14.25" thickTop="1" thickBot="1" x14ac:dyDescent="0.25"/>
    <row r="73" spans="1:13" ht="37.5" customHeight="1" thickTop="1" x14ac:dyDescent="0.2">
      <c r="A73" s="172" t="str">
        <f>úvod!$C$6</f>
        <v>Krajské přebory</v>
      </c>
      <c r="B73" s="173"/>
      <c r="C73" s="173"/>
      <c r="D73" s="173"/>
      <c r="E73" s="173"/>
      <c r="F73" s="174"/>
      <c r="H73" s="172" t="str">
        <f>úvod!$C$6</f>
        <v>Krajské přebory</v>
      </c>
      <c r="I73" s="173"/>
      <c r="J73" s="173"/>
      <c r="K73" s="173"/>
      <c r="L73" s="173"/>
      <c r="M73" s="174"/>
    </row>
    <row r="74" spans="1:13" ht="37.5" customHeight="1" x14ac:dyDescent="0.2">
      <c r="A74" s="175" t="str">
        <f>'Z-singlŽ'!A20</f>
        <v>1.st. U19 - ženy Skupina D</v>
      </c>
      <c r="B74" s="176"/>
      <c r="C74" s="176"/>
      <c r="D74" s="176" t="s">
        <v>34</v>
      </c>
      <c r="E74" s="176"/>
      <c r="F74" s="91" t="s">
        <v>41</v>
      </c>
      <c r="H74" s="175" t="str">
        <f>'Z-singlŽ'!A21</f>
        <v>1.st. U19 - ženy Skupina D</v>
      </c>
      <c r="I74" s="176"/>
      <c r="J74" s="176"/>
      <c r="K74" s="176" t="s">
        <v>34</v>
      </c>
      <c r="L74" s="176"/>
      <c r="M74" s="91" t="s">
        <v>42</v>
      </c>
    </row>
    <row r="75" spans="1:13" ht="37.5" customHeight="1" x14ac:dyDescent="0.2">
      <c r="A75" s="177" t="str">
        <f>CONCATENATE('Z-singlŽ'!B20," ",'Z-singlŽ'!C20," (",'Z-singlŽ'!D20,")")</f>
        <v>0 ---------- ()</v>
      </c>
      <c r="B75" s="178"/>
      <c r="C75" s="179"/>
      <c r="D75" s="176" t="str">
        <f>CONCATENATE('Z-singlŽ'!E20," ",'Z-singlŽ'!F20," (",'Z-singlŽ'!G20,")")</f>
        <v>0 ---------- ()</v>
      </c>
      <c r="E75" s="176"/>
      <c r="F75" s="180"/>
      <c r="H75" s="177" t="str">
        <f>CONCATENATE('Z-singlŽ'!B21," ",'Z-singlŽ'!C21," (",'Z-singlŽ'!D21,")")</f>
        <v>0 ---------- ()</v>
      </c>
      <c r="I75" s="178"/>
      <c r="J75" s="179"/>
      <c r="K75" s="176" t="str">
        <f>CONCATENATE('Z-singlŽ'!E21," ",'Z-singlŽ'!F21," (",'Z-singlŽ'!G21,")")</f>
        <v>0 ---------- ()</v>
      </c>
      <c r="L75" s="176"/>
      <c r="M75" s="180"/>
    </row>
    <row r="76" spans="1:13" ht="21" customHeight="1" x14ac:dyDescent="0.2">
      <c r="A76" s="166"/>
      <c r="B76" s="167"/>
      <c r="C76" s="167"/>
      <c r="D76" s="167"/>
      <c r="E76" s="167"/>
      <c r="F76" s="168"/>
      <c r="G76" s="93"/>
      <c r="H76" s="166"/>
      <c r="I76" s="167"/>
      <c r="J76" s="167"/>
      <c r="K76" s="167"/>
      <c r="L76" s="167"/>
      <c r="M76" s="168"/>
    </row>
    <row r="77" spans="1:13" x14ac:dyDescent="0.2">
      <c r="A77" s="94" t="s">
        <v>26</v>
      </c>
      <c r="B77" s="95" t="s">
        <v>27</v>
      </c>
      <c r="C77" s="95" t="s">
        <v>28</v>
      </c>
      <c r="D77" s="95" t="s">
        <v>29</v>
      </c>
      <c r="E77" s="95" t="s">
        <v>30</v>
      </c>
      <c r="F77" s="96" t="s">
        <v>31</v>
      </c>
      <c r="H77" s="94" t="s">
        <v>26</v>
      </c>
      <c r="I77" s="95" t="s">
        <v>27</v>
      </c>
      <c r="J77" s="95" t="s">
        <v>28</v>
      </c>
      <c r="K77" s="95" t="s">
        <v>29</v>
      </c>
      <c r="L77" s="95" t="s">
        <v>30</v>
      </c>
      <c r="M77" s="96" t="s">
        <v>31</v>
      </c>
    </row>
    <row r="78" spans="1:13" ht="36.75" customHeight="1" x14ac:dyDescent="0.2">
      <c r="A78" s="97"/>
      <c r="B78" s="98"/>
      <c r="C78" s="98"/>
      <c r="D78" s="98"/>
      <c r="E78" s="98"/>
      <c r="F78" s="99"/>
      <c r="H78" s="97"/>
      <c r="I78" s="98"/>
      <c r="J78" s="98"/>
      <c r="K78" s="98"/>
      <c r="L78" s="98"/>
      <c r="M78" s="99"/>
    </row>
    <row r="79" spans="1:13" ht="36.75" customHeight="1" thickBot="1" x14ac:dyDescent="0.25">
      <c r="A79" s="169" t="s">
        <v>32</v>
      </c>
      <c r="B79" s="170"/>
      <c r="C79" s="170"/>
      <c r="D79" s="170" t="s">
        <v>33</v>
      </c>
      <c r="E79" s="170"/>
      <c r="F79" s="171"/>
      <c r="H79" s="169" t="s">
        <v>32</v>
      </c>
      <c r="I79" s="170"/>
      <c r="J79" s="170"/>
      <c r="K79" s="170" t="s">
        <v>33</v>
      </c>
      <c r="L79" s="170"/>
      <c r="M79" s="171"/>
    </row>
    <row r="80" spans="1:13" ht="14.25" thickTop="1" thickBot="1" x14ac:dyDescent="0.25"/>
    <row r="81" spans="1:13" ht="37.5" customHeight="1" thickTop="1" x14ac:dyDescent="0.2">
      <c r="A81" s="172" t="str">
        <f>úvod!$C$6</f>
        <v>Krajské přebory</v>
      </c>
      <c r="B81" s="173"/>
      <c r="C81" s="173"/>
      <c r="D81" s="173"/>
      <c r="E81" s="173"/>
      <c r="F81" s="174"/>
      <c r="H81" s="172" t="str">
        <f>úvod!$C$6</f>
        <v>Krajské přebory</v>
      </c>
      <c r="I81" s="173"/>
      <c r="J81" s="173"/>
      <c r="K81" s="173"/>
      <c r="L81" s="173"/>
      <c r="M81" s="174"/>
    </row>
    <row r="82" spans="1:13" ht="37.5" customHeight="1" x14ac:dyDescent="0.2">
      <c r="A82" s="175" t="str">
        <f>'Z-singlŽ'!A22</f>
        <v>1.st. U19 - ženy Skupina D</v>
      </c>
      <c r="B82" s="176"/>
      <c r="C82" s="176"/>
      <c r="D82" s="176" t="s">
        <v>34</v>
      </c>
      <c r="E82" s="176"/>
      <c r="F82" s="91" t="s">
        <v>43</v>
      </c>
      <c r="H82" s="175" t="str">
        <f>'Z-singlŽ'!A23</f>
        <v>1.st. U19 - ženy Skupina D</v>
      </c>
      <c r="I82" s="176"/>
      <c r="J82" s="176"/>
      <c r="K82" s="176" t="s">
        <v>34</v>
      </c>
      <c r="L82" s="176"/>
      <c r="M82" s="91" t="s">
        <v>44</v>
      </c>
    </row>
    <row r="83" spans="1:13" ht="37.5" customHeight="1" x14ac:dyDescent="0.2">
      <c r="A83" s="177" t="str">
        <f>CONCATENATE('Z-singlŽ'!B22," ",'Z-singlŽ'!C22," (",'Z-singlŽ'!D22,")")</f>
        <v>0 ---------- ()</v>
      </c>
      <c r="B83" s="178"/>
      <c r="C83" s="179"/>
      <c r="D83" s="176" t="str">
        <f>CONCATENATE('Z-singlŽ'!E22," ",'Z-singlŽ'!F22," (",'Z-singlŽ'!G22,")")</f>
        <v>0 ---------- ()</v>
      </c>
      <c r="E83" s="176"/>
      <c r="F83" s="180"/>
      <c r="H83" s="177" t="str">
        <f>CONCATENATE('Z-singlŽ'!B23," ",'Z-singlŽ'!C23," (",'Z-singlŽ'!D23,")")</f>
        <v>0 ---------- ()</v>
      </c>
      <c r="I83" s="178"/>
      <c r="J83" s="179"/>
      <c r="K83" s="176" t="str">
        <f>CONCATENATE('Z-singlŽ'!E23," ",'Z-singlŽ'!F23," (",'Z-singlŽ'!G23,")")</f>
        <v>0 ---------- ()</v>
      </c>
      <c r="L83" s="176"/>
      <c r="M83" s="180"/>
    </row>
    <row r="84" spans="1:13" ht="21" customHeight="1" x14ac:dyDescent="0.2">
      <c r="A84" s="166"/>
      <c r="B84" s="167"/>
      <c r="C84" s="167"/>
      <c r="D84" s="167"/>
      <c r="E84" s="167"/>
      <c r="F84" s="168"/>
      <c r="G84" s="93"/>
      <c r="H84" s="166"/>
      <c r="I84" s="167"/>
      <c r="J84" s="167"/>
      <c r="K84" s="167"/>
      <c r="L84" s="167"/>
      <c r="M84" s="168"/>
    </row>
    <row r="85" spans="1:13" x14ac:dyDescent="0.2">
      <c r="A85" s="94" t="s">
        <v>26</v>
      </c>
      <c r="B85" s="95" t="s">
        <v>27</v>
      </c>
      <c r="C85" s="95" t="s">
        <v>28</v>
      </c>
      <c r="D85" s="95" t="s">
        <v>29</v>
      </c>
      <c r="E85" s="95" t="s">
        <v>30</v>
      </c>
      <c r="F85" s="96" t="s">
        <v>31</v>
      </c>
      <c r="H85" s="94" t="s">
        <v>26</v>
      </c>
      <c r="I85" s="95" t="s">
        <v>27</v>
      </c>
      <c r="J85" s="95" t="s">
        <v>28</v>
      </c>
      <c r="K85" s="95" t="s">
        <v>29</v>
      </c>
      <c r="L85" s="95" t="s">
        <v>30</v>
      </c>
      <c r="M85" s="96" t="s">
        <v>31</v>
      </c>
    </row>
    <row r="86" spans="1:13" ht="36.75" customHeight="1" x14ac:dyDescent="0.2">
      <c r="A86" s="97"/>
      <c r="B86" s="98"/>
      <c r="C86" s="98"/>
      <c r="D86" s="98"/>
      <c r="E86" s="98"/>
      <c r="F86" s="99"/>
      <c r="H86" s="97"/>
      <c r="I86" s="98"/>
      <c r="J86" s="98"/>
      <c r="K86" s="98"/>
      <c r="L86" s="98"/>
      <c r="M86" s="99"/>
    </row>
    <row r="87" spans="1:13" ht="36.75" customHeight="1" thickBot="1" x14ac:dyDescent="0.25">
      <c r="A87" s="169" t="s">
        <v>32</v>
      </c>
      <c r="B87" s="170"/>
      <c r="C87" s="170"/>
      <c r="D87" s="170" t="s">
        <v>33</v>
      </c>
      <c r="E87" s="170"/>
      <c r="F87" s="171"/>
      <c r="H87" s="169" t="s">
        <v>32</v>
      </c>
      <c r="I87" s="170"/>
      <c r="J87" s="170"/>
      <c r="K87" s="170" t="s">
        <v>33</v>
      </c>
      <c r="L87" s="170"/>
      <c r="M87" s="171"/>
    </row>
    <row r="88" spans="1:13" ht="14.25" thickTop="1" thickBot="1" x14ac:dyDescent="0.25"/>
    <row r="89" spans="1:13" ht="37.5" customHeight="1" thickTop="1" x14ac:dyDescent="0.2">
      <c r="A89" s="172" t="str">
        <f>úvod!$C$6</f>
        <v>Krajské přebory</v>
      </c>
      <c r="B89" s="173"/>
      <c r="C89" s="173"/>
      <c r="D89" s="173"/>
      <c r="E89" s="173"/>
      <c r="F89" s="174"/>
      <c r="H89" s="172" t="str">
        <f>úvod!$C$6</f>
        <v>Krajské přebory</v>
      </c>
      <c r="I89" s="173"/>
      <c r="J89" s="173"/>
      <c r="K89" s="173"/>
      <c r="L89" s="173"/>
      <c r="M89" s="174"/>
    </row>
    <row r="90" spans="1:13" ht="37.5" customHeight="1" x14ac:dyDescent="0.2">
      <c r="A90" s="175" t="str">
        <f>'Z-singlŽ'!A24</f>
        <v>1.st. U19 - ženy Skupina D</v>
      </c>
      <c r="B90" s="176"/>
      <c r="C90" s="176"/>
      <c r="D90" s="176" t="s">
        <v>34</v>
      </c>
      <c r="E90" s="176"/>
      <c r="F90" s="91" t="s">
        <v>45</v>
      </c>
      <c r="H90" s="175" t="str">
        <f>'Z-singlŽ'!A25</f>
        <v>1.st. U19 - ženy Skupina D</v>
      </c>
      <c r="I90" s="176"/>
      <c r="J90" s="176"/>
      <c r="K90" s="176" t="s">
        <v>34</v>
      </c>
      <c r="L90" s="176"/>
      <c r="M90" s="91" t="s">
        <v>46</v>
      </c>
    </row>
    <row r="91" spans="1:13" ht="37.5" customHeight="1" x14ac:dyDescent="0.2">
      <c r="A91" s="177" t="str">
        <f>CONCATENATE('Z-singlŽ'!B24," ",'Z-singlŽ'!C24," (",'Z-singlŽ'!D24,")")</f>
        <v>0 ---------- ()</v>
      </c>
      <c r="B91" s="178"/>
      <c r="C91" s="179"/>
      <c r="D91" s="176" t="str">
        <f>CONCATENATE('Z-singl'!E24," ",'Z-singl'!F24," (",'Z-singl'!G24,")")</f>
        <v>0 ---------- ()</v>
      </c>
      <c r="E91" s="176"/>
      <c r="F91" s="180"/>
      <c r="H91" s="177" t="str">
        <f>CONCATENATE('Z-singlŽ'!B25," ",'Z-singlŽ'!C25," (",'Z-singlŽ'!D25,")")</f>
        <v>0 ---------- ()</v>
      </c>
      <c r="I91" s="178"/>
      <c r="J91" s="179"/>
      <c r="K91" s="176" t="str">
        <f>CONCATENATE('Z-singlŽ'!E25," ",'Z-singlŽ'!F25," (",'Z-singlŽ'!G25,")")</f>
        <v>0 ---------- ()</v>
      </c>
      <c r="L91" s="176"/>
      <c r="M91" s="180"/>
    </row>
    <row r="92" spans="1:13" ht="21" customHeight="1" x14ac:dyDescent="0.2">
      <c r="A92" s="166"/>
      <c r="B92" s="167"/>
      <c r="C92" s="167"/>
      <c r="D92" s="167"/>
      <c r="E92" s="167"/>
      <c r="F92" s="168"/>
      <c r="G92" s="93"/>
      <c r="H92" s="166"/>
      <c r="I92" s="167"/>
      <c r="J92" s="167"/>
      <c r="K92" s="167"/>
      <c r="L92" s="167"/>
      <c r="M92" s="168"/>
    </row>
    <row r="93" spans="1:13" x14ac:dyDescent="0.2">
      <c r="A93" s="94" t="s">
        <v>26</v>
      </c>
      <c r="B93" s="95" t="s">
        <v>27</v>
      </c>
      <c r="C93" s="95" t="s">
        <v>28</v>
      </c>
      <c r="D93" s="95" t="s">
        <v>29</v>
      </c>
      <c r="E93" s="95" t="s">
        <v>30</v>
      </c>
      <c r="F93" s="96" t="s">
        <v>31</v>
      </c>
      <c r="H93" s="94" t="s">
        <v>26</v>
      </c>
      <c r="I93" s="95" t="s">
        <v>27</v>
      </c>
      <c r="J93" s="95" t="s">
        <v>28</v>
      </c>
      <c r="K93" s="95" t="s">
        <v>29</v>
      </c>
      <c r="L93" s="95" t="s">
        <v>30</v>
      </c>
      <c r="M93" s="96" t="s">
        <v>31</v>
      </c>
    </row>
    <row r="94" spans="1:13" ht="36.75" customHeight="1" x14ac:dyDescent="0.2">
      <c r="A94" s="97"/>
      <c r="B94" s="98"/>
      <c r="C94" s="98"/>
      <c r="D94" s="98"/>
      <c r="E94" s="98"/>
      <c r="F94" s="99"/>
      <c r="H94" s="97"/>
      <c r="I94" s="98"/>
      <c r="J94" s="98"/>
      <c r="K94" s="98"/>
      <c r="L94" s="98"/>
      <c r="M94" s="99"/>
    </row>
    <row r="95" spans="1:13" ht="36.75" customHeight="1" thickBot="1" x14ac:dyDescent="0.25">
      <c r="A95" s="169" t="s">
        <v>32</v>
      </c>
      <c r="B95" s="170"/>
      <c r="C95" s="170"/>
      <c r="D95" s="170" t="s">
        <v>33</v>
      </c>
      <c r="E95" s="170"/>
      <c r="F95" s="171"/>
      <c r="H95" s="169" t="s">
        <v>32</v>
      </c>
      <c r="I95" s="170"/>
      <c r="J95" s="170"/>
      <c r="K95" s="170" t="s">
        <v>33</v>
      </c>
      <c r="L95" s="170"/>
      <c r="M95" s="171"/>
    </row>
    <row r="96" spans="1:13" ht="13.5" thickTop="1" x14ac:dyDescent="0.2"/>
  </sheetData>
  <mergeCells count="192">
    <mergeCell ref="A3:C3"/>
    <mergeCell ref="D3:F3"/>
    <mergeCell ref="H3:J3"/>
    <mergeCell ref="K3:M3"/>
    <mergeCell ref="A4:F4"/>
    <mergeCell ref="H4:M4"/>
    <mergeCell ref="A1:F1"/>
    <mergeCell ref="H1:M1"/>
    <mergeCell ref="A2:C2"/>
    <mergeCell ref="D2:E2"/>
    <mergeCell ref="H2:J2"/>
    <mergeCell ref="K2:L2"/>
    <mergeCell ref="A10:C10"/>
    <mergeCell ref="D10:E10"/>
    <mergeCell ref="H10:J10"/>
    <mergeCell ref="K10:L10"/>
    <mergeCell ref="A11:C11"/>
    <mergeCell ref="D11:F11"/>
    <mergeCell ref="H11:J11"/>
    <mergeCell ref="K11:M11"/>
    <mergeCell ref="A7:C7"/>
    <mergeCell ref="D7:F7"/>
    <mergeCell ref="H7:J7"/>
    <mergeCell ref="K7:M7"/>
    <mergeCell ref="A9:F9"/>
    <mergeCell ref="H9:M9"/>
    <mergeCell ref="A17:F17"/>
    <mergeCell ref="H17:M17"/>
    <mergeCell ref="A18:C18"/>
    <mergeCell ref="D18:E18"/>
    <mergeCell ref="H18:J18"/>
    <mergeCell ref="K18:L18"/>
    <mergeCell ref="A12:F12"/>
    <mergeCell ref="H12:M12"/>
    <mergeCell ref="A15:C15"/>
    <mergeCell ref="D15:F15"/>
    <mergeCell ref="H15:J15"/>
    <mergeCell ref="K15:M15"/>
    <mergeCell ref="A23:C23"/>
    <mergeCell ref="D23:F23"/>
    <mergeCell ref="H23:J23"/>
    <mergeCell ref="K23:M23"/>
    <mergeCell ref="A25:F25"/>
    <mergeCell ref="H25:M25"/>
    <mergeCell ref="A19:C19"/>
    <mergeCell ref="D19:F19"/>
    <mergeCell ref="H19:J19"/>
    <mergeCell ref="K19:M19"/>
    <mergeCell ref="A20:F20"/>
    <mergeCell ref="H20:M20"/>
    <mergeCell ref="A28:F28"/>
    <mergeCell ref="H28:M28"/>
    <mergeCell ref="A31:C31"/>
    <mergeCell ref="D31:F31"/>
    <mergeCell ref="H31:J31"/>
    <mergeCell ref="K31:M31"/>
    <mergeCell ref="A26:C26"/>
    <mergeCell ref="D26:E26"/>
    <mergeCell ref="H26:J26"/>
    <mergeCell ref="K26:L26"/>
    <mergeCell ref="A27:C27"/>
    <mergeCell ref="D27:F27"/>
    <mergeCell ref="H27:J27"/>
    <mergeCell ref="K27:M27"/>
    <mergeCell ref="A35:C35"/>
    <mergeCell ref="D35:F35"/>
    <mergeCell ref="H35:J35"/>
    <mergeCell ref="K35:M35"/>
    <mergeCell ref="A36:F36"/>
    <mergeCell ref="H36:M36"/>
    <mergeCell ref="A33:F33"/>
    <mergeCell ref="H33:M33"/>
    <mergeCell ref="A34:C34"/>
    <mergeCell ref="D34:E34"/>
    <mergeCell ref="H34:J34"/>
    <mergeCell ref="K34:L34"/>
    <mergeCell ref="A42:C42"/>
    <mergeCell ref="D42:E42"/>
    <mergeCell ref="H42:J42"/>
    <mergeCell ref="K42:L42"/>
    <mergeCell ref="A43:C43"/>
    <mergeCell ref="D43:F43"/>
    <mergeCell ref="H43:J43"/>
    <mergeCell ref="K43:M43"/>
    <mergeCell ref="A39:C39"/>
    <mergeCell ref="D39:F39"/>
    <mergeCell ref="H39:J39"/>
    <mergeCell ref="K39:M39"/>
    <mergeCell ref="A41:F41"/>
    <mergeCell ref="H41:M41"/>
    <mergeCell ref="A49:F49"/>
    <mergeCell ref="H49:M49"/>
    <mergeCell ref="A50:C50"/>
    <mergeCell ref="D50:E50"/>
    <mergeCell ref="H50:J50"/>
    <mergeCell ref="K50:L50"/>
    <mergeCell ref="A44:F44"/>
    <mergeCell ref="H44:M44"/>
    <mergeCell ref="A47:C47"/>
    <mergeCell ref="D47:F47"/>
    <mergeCell ref="H47:J47"/>
    <mergeCell ref="K47:M47"/>
    <mergeCell ref="A55:C55"/>
    <mergeCell ref="D55:F55"/>
    <mergeCell ref="H55:J55"/>
    <mergeCell ref="K55:M55"/>
    <mergeCell ref="A57:F57"/>
    <mergeCell ref="H57:M57"/>
    <mergeCell ref="A51:C51"/>
    <mergeCell ref="D51:F51"/>
    <mergeCell ref="H51:J51"/>
    <mergeCell ref="K51:M51"/>
    <mergeCell ref="A52:F52"/>
    <mergeCell ref="H52:M52"/>
    <mergeCell ref="A60:F60"/>
    <mergeCell ref="H60:M60"/>
    <mergeCell ref="A63:C63"/>
    <mergeCell ref="D63:F63"/>
    <mergeCell ref="H63:J63"/>
    <mergeCell ref="K63:M63"/>
    <mergeCell ref="A58:C58"/>
    <mergeCell ref="D58:E58"/>
    <mergeCell ref="H58:J58"/>
    <mergeCell ref="K58:L58"/>
    <mergeCell ref="A59:C59"/>
    <mergeCell ref="D59:F59"/>
    <mergeCell ref="H59:J59"/>
    <mergeCell ref="K59:M59"/>
    <mergeCell ref="A67:C67"/>
    <mergeCell ref="D67:F67"/>
    <mergeCell ref="H67:J67"/>
    <mergeCell ref="K67:M67"/>
    <mergeCell ref="A68:F68"/>
    <mergeCell ref="H68:M68"/>
    <mergeCell ref="A65:F65"/>
    <mergeCell ref="H65:M65"/>
    <mergeCell ref="A66:C66"/>
    <mergeCell ref="D66:E66"/>
    <mergeCell ref="H66:J66"/>
    <mergeCell ref="K66:L66"/>
    <mergeCell ref="A74:C74"/>
    <mergeCell ref="D74:E74"/>
    <mergeCell ref="H74:J74"/>
    <mergeCell ref="K74:L74"/>
    <mergeCell ref="A75:C75"/>
    <mergeCell ref="D75:F75"/>
    <mergeCell ref="H75:J75"/>
    <mergeCell ref="K75:M75"/>
    <mergeCell ref="A71:C71"/>
    <mergeCell ref="D71:F71"/>
    <mergeCell ref="H71:J71"/>
    <mergeCell ref="K71:M71"/>
    <mergeCell ref="A73:F73"/>
    <mergeCell ref="H73:M73"/>
    <mergeCell ref="A81:F81"/>
    <mergeCell ref="H81:M81"/>
    <mergeCell ref="A82:C82"/>
    <mergeCell ref="D82:E82"/>
    <mergeCell ref="H82:J82"/>
    <mergeCell ref="K82:L82"/>
    <mergeCell ref="A76:F76"/>
    <mergeCell ref="H76:M76"/>
    <mergeCell ref="A79:C79"/>
    <mergeCell ref="D79:F79"/>
    <mergeCell ref="H79:J79"/>
    <mergeCell ref="K79:M79"/>
    <mergeCell ref="A87:C87"/>
    <mergeCell ref="D87:F87"/>
    <mergeCell ref="H87:J87"/>
    <mergeCell ref="K87:M87"/>
    <mergeCell ref="A89:F89"/>
    <mergeCell ref="H89:M89"/>
    <mergeCell ref="A83:C83"/>
    <mergeCell ref="D83:F83"/>
    <mergeCell ref="H83:J83"/>
    <mergeCell ref="K83:M83"/>
    <mergeCell ref="A84:F84"/>
    <mergeCell ref="H84:M84"/>
    <mergeCell ref="A92:F92"/>
    <mergeCell ref="H92:M92"/>
    <mergeCell ref="A95:C95"/>
    <mergeCell ref="D95:F95"/>
    <mergeCell ref="H95:J95"/>
    <mergeCell ref="K95:M95"/>
    <mergeCell ref="A90:C90"/>
    <mergeCell ref="D90:E90"/>
    <mergeCell ref="H90:J90"/>
    <mergeCell ref="K90:L90"/>
    <mergeCell ref="A91:C91"/>
    <mergeCell ref="D91:F91"/>
    <mergeCell ref="H91:J91"/>
    <mergeCell ref="K91:M91"/>
  </mergeCells>
  <printOptions horizontalCentered="1" verticalCentered="1"/>
  <pageMargins left="0.39370078740157483" right="0.59055118110236227" top="0.39370078740157483" bottom="0.39370078740157483" header="0.51181102362204722" footer="0.51181102362204722"/>
  <pageSetup paperSize="9" scale="75" orientation="landscape" horizontalDpi="300" verticalDpi="300" r:id="rId1"/>
  <headerFooter alignWithMargins="0"/>
  <rowBreaks count="3" manualBreakCount="3">
    <brk id="24" max="12" man="1"/>
    <brk id="48" max="12" man="1"/>
    <brk id="72" max="1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7"/>
  <sheetViews>
    <sheetView tabSelected="1" view="pageBreakPreview" topLeftCell="A7" zoomScaleNormal="100" zoomScaleSheetLayoutView="100" workbookViewId="0">
      <selection activeCell="K25" sqref="K25"/>
    </sheetView>
  </sheetViews>
  <sheetFormatPr defaultRowHeight="12.75" x14ac:dyDescent="0.2"/>
  <cols>
    <col min="1" max="1" width="3.5703125" style="2" bestFit="1" customWidth="1"/>
    <col min="2" max="2" width="4.140625" style="2" customWidth="1"/>
    <col min="3" max="3" width="32" style="2" customWidth="1"/>
    <col min="4" max="4" width="0.85546875" style="2" customWidth="1"/>
    <col min="5" max="6" width="18.28515625" style="2" bestFit="1" customWidth="1"/>
    <col min="7" max="7" width="19.140625" style="2" bestFit="1" customWidth="1"/>
    <col min="8" max="8" width="19.28515625" style="2" customWidth="1"/>
    <col min="9" max="16384" width="9.140625" style="2"/>
  </cols>
  <sheetData>
    <row r="1" spans="1:8" ht="27" customHeight="1" x14ac:dyDescent="0.35">
      <c r="B1" s="3" t="str">
        <f>'2.st. M'!B1</f>
        <v>Krajské přebory</v>
      </c>
      <c r="H1" s="82"/>
    </row>
    <row r="2" spans="1:8" ht="21" customHeight="1" x14ac:dyDescent="0.3">
      <c r="B2" s="4"/>
      <c r="H2" s="20" t="str">
        <f>CONCATENATE("MIX ",úvod!C8)</f>
        <v>MIX U19</v>
      </c>
    </row>
    <row r="3" spans="1:8" ht="13.5" x14ac:dyDescent="0.25">
      <c r="B3" s="100">
        <v>4</v>
      </c>
      <c r="C3" s="2" t="str">
        <f>IF($B3="","",CONCATENATE(VLOOKUP($B3,sez!$A$2:$B$259,2)," (",VLOOKUP($B3,sez!$A$2:$E$259,4),")"))</f>
        <v>Luska Petr (KST Vyškov)</v>
      </c>
      <c r="D3" s="4"/>
      <c r="H3" s="15"/>
    </row>
    <row r="4" spans="1:8" x14ac:dyDescent="0.2">
      <c r="A4" s="2">
        <v>1</v>
      </c>
      <c r="B4" s="5">
        <f>IF(B3="","",VLOOKUP(B3,debl!$B$1:$C$46,2,FALSE))</f>
        <v>41</v>
      </c>
      <c r="C4" s="5" t="str">
        <f>IF($B4="","bye",CONCATENATE(VLOOKUP($B4,sez!$A$2:$B$259,2)," (",VLOOKUP($B4,sez!$A$2:$E$259,4),")"))</f>
        <v>Sobotíková Monika (MS Brno)</v>
      </c>
      <c r="E4" s="2" t="str">
        <f>'výs MIX'!V2</f>
        <v>Luska Petr</v>
      </c>
    </row>
    <row r="5" spans="1:8" x14ac:dyDescent="0.2">
      <c r="B5" s="100"/>
      <c r="C5" s="2" t="str">
        <f>IF($B5="","",CONCATENATE(VLOOKUP($B5,sez!$A$2:$B$259,2)," (",VLOOKUP($B5,sez!$A$2:$E$259,4),")"))</f>
        <v/>
      </c>
      <c r="D5" s="13"/>
      <c r="E5" s="5" t="str">
        <f>'výs MIX'!X2</f>
        <v>Sobotíková Monika</v>
      </c>
    </row>
    <row r="6" spans="1:8" x14ac:dyDescent="0.2">
      <c r="A6" s="2">
        <v>2</v>
      </c>
      <c r="B6" s="5" t="str">
        <f>IF(B5="","",VLOOKUP(B5,debl!$B$1:$C$46,2,FALSE))</f>
        <v/>
      </c>
      <c r="C6" s="5" t="str">
        <f>IF($B6="","bye",CONCATENATE(VLOOKUP($B6,sez!$A$2:$B$259,2)," (",VLOOKUP($B6,sez!$A$2:$E$259,4),")"))</f>
        <v>bye</v>
      </c>
      <c r="D6" s="14"/>
      <c r="E6" s="6" t="str">
        <f>'výs MIX'!Z2</f>
        <v>3:0 (0,0,0)</v>
      </c>
      <c r="F6" s="2" t="str">
        <f>'výs MIX'!V11</f>
        <v>Pokorný Martin</v>
      </c>
    </row>
    <row r="7" spans="1:8" x14ac:dyDescent="0.2">
      <c r="B7" s="100">
        <v>16</v>
      </c>
      <c r="C7" s="2" t="str">
        <f>IF($B7="","",CONCATENATE(VLOOKUP($B7,sez!$A$2:$B$259,2)," (",VLOOKUP($B7,sez!$A$2:$E$259,4),")"))</f>
        <v>Šimeček Robin (TJ Holásky)</v>
      </c>
      <c r="D7" s="15"/>
      <c r="E7" s="8"/>
      <c r="F7" s="9" t="str">
        <f>'výs MIX'!X11</f>
        <v>Habáňová Michaela</v>
      </c>
    </row>
    <row r="8" spans="1:8" x14ac:dyDescent="0.2">
      <c r="A8" s="2">
        <v>3</v>
      </c>
      <c r="B8" s="5">
        <f>IF(B7="","",VLOOKUP(B7,debl!$B$1:$C$46,2,FALSE))</f>
        <v>51</v>
      </c>
      <c r="C8" s="5" t="str">
        <f>IF($B8="","bye",CONCATENATE(VLOOKUP($B8,sez!$A$2:$B$259,2)," (",VLOOKUP($B8,sez!$A$2:$E$259,4),")"))</f>
        <v>Bedřichová Ema (Klobouky u Brna)</v>
      </c>
      <c r="D8" s="12"/>
      <c r="E8" s="8" t="str">
        <f>'výs MIX'!V3</f>
        <v>Pokorný Martin</v>
      </c>
      <c r="F8" s="6" t="str">
        <f>'výs MIX'!Z11</f>
        <v>3:2 (-4,-5,3,6,7)</v>
      </c>
    </row>
    <row r="9" spans="1:8" x14ac:dyDescent="0.2">
      <c r="B9" s="100">
        <v>8</v>
      </c>
      <c r="C9" s="2" t="str">
        <f>IF($B9="","",CONCATENATE(VLOOKUP($B9,sez!$A$2:$B$259,2)," (",VLOOKUP($B9,sez!$A$2:$E$259,4),")"))</f>
        <v>Pokorný Martin (KST Blansko)</v>
      </c>
      <c r="D9" s="13"/>
      <c r="E9" s="7" t="str">
        <f>'výs MIX'!X3</f>
        <v>Habáňová Michaela</v>
      </c>
      <c r="F9" s="8"/>
    </row>
    <row r="10" spans="1:8" x14ac:dyDescent="0.2">
      <c r="A10" s="2">
        <v>4</v>
      </c>
      <c r="B10" s="5">
        <f>IF(B9="","",VLOOKUP(B9,debl!$B$1:$C$46,2,FALSE))</f>
        <v>52</v>
      </c>
      <c r="C10" s="5" t="str">
        <f>IF($B10="","bye",CONCATENATE(VLOOKUP($B10,sez!$A$2:$B$259,2)," (",VLOOKUP($B10,sez!$A$2:$E$259,4),")"))</f>
        <v>Habáňová Michaela (KST Blansko)</v>
      </c>
      <c r="D10" s="14"/>
      <c r="E10" s="2" t="str">
        <f>'výs MIX'!Z3</f>
        <v>3:0 (2,7,5)</v>
      </c>
      <c r="F10" s="8"/>
      <c r="G10" s="2" t="str">
        <f>'výs MIX'!V16</f>
        <v>Drápal Metoděj</v>
      </c>
    </row>
    <row r="11" spans="1:8" x14ac:dyDescent="0.2">
      <c r="B11" s="100">
        <v>11</v>
      </c>
      <c r="C11" s="2" t="str">
        <f>IF($B11="","",CONCATENATE(VLOOKUP($B11,sez!$A$2:$B$259,2)," (",VLOOKUP($B11,sez!$A$2:$E$259,4),")"))</f>
        <v>Krejčí David (MS Brno)</v>
      </c>
      <c r="D11" s="15"/>
      <c r="F11" s="8"/>
      <c r="G11" s="9" t="str">
        <f>'výs MIX'!X16</f>
        <v>Novohradská Karolína</v>
      </c>
    </row>
    <row r="12" spans="1:8" x14ac:dyDescent="0.2">
      <c r="A12" s="2">
        <v>5</v>
      </c>
      <c r="B12" s="5">
        <f>IF(B11="","",VLOOKUP(B11,debl!$B$1:$C$46,2,FALSE))</f>
        <v>44</v>
      </c>
      <c r="C12" s="5" t="str">
        <f>IF($B12="","bye",CONCATENATE(VLOOKUP($B12,sez!$A$2:$B$259,2)," (",VLOOKUP($B12,sez!$A$2:$E$259,4),")"))</f>
        <v>Novotná Eliška (SKST Hodonín)</v>
      </c>
      <c r="D12" s="12"/>
      <c r="E12" s="2" t="str">
        <f>'výs MIX'!V4</f>
        <v>Krejčí David</v>
      </c>
      <c r="F12" s="8"/>
      <c r="G12" s="6" t="str">
        <f>'výs MIX'!Z16</f>
        <v>3:0 (1,6,7)</v>
      </c>
    </row>
    <row r="13" spans="1:8" x14ac:dyDescent="0.2">
      <c r="B13" s="100"/>
      <c r="C13" s="2" t="str">
        <f>IF($B13="","",CONCATENATE(VLOOKUP($B13,sez!$A$2:$B$259,2)," (",VLOOKUP($B13,sez!$A$2:$E$259,4),")"))</f>
        <v/>
      </c>
      <c r="D13" s="13"/>
      <c r="E13" s="5" t="str">
        <f>'výs MIX'!X4</f>
        <v>Novotná Eliška</v>
      </c>
      <c r="F13" s="8"/>
      <c r="G13" s="8"/>
    </row>
    <row r="14" spans="1:8" x14ac:dyDescent="0.2">
      <c r="A14" s="2">
        <v>6</v>
      </c>
      <c r="B14" s="5" t="str">
        <f>IF(B13="","",VLOOKUP(B13,debl!$B$1:$C$46,2,FALSE))</f>
        <v/>
      </c>
      <c r="C14" s="5" t="str">
        <f>IF($B14="","bye",CONCATENATE(VLOOKUP($B14,sez!$A$2:$B$259,2)," (",VLOOKUP($B14,sez!$A$2:$E$259,4),")"))</f>
        <v>bye</v>
      </c>
      <c r="D14" s="14"/>
      <c r="E14" s="6" t="str">
        <f>'výs MIX'!Z4</f>
        <v>3:0 (0,0,0)</v>
      </c>
      <c r="F14" s="8" t="str">
        <f>'výs MIX'!V12</f>
        <v>Drápal Metoděj</v>
      </c>
      <c r="G14" s="8"/>
    </row>
    <row r="15" spans="1:8" x14ac:dyDescent="0.2">
      <c r="B15" s="100"/>
      <c r="C15" s="2" t="str">
        <f>IF($B15="","",CONCATENATE(VLOOKUP($B15,sez!$A$2:$B$259,2)," (",VLOOKUP($B15,sez!$A$2:$E$259,4),")"))</f>
        <v/>
      </c>
      <c r="D15" s="15"/>
      <c r="E15" s="8"/>
      <c r="F15" s="10" t="str">
        <f>'výs MIX'!X12</f>
        <v>Novohradská Karolína</v>
      </c>
      <c r="G15" s="8"/>
    </row>
    <row r="16" spans="1:8" x14ac:dyDescent="0.2">
      <c r="A16" s="2">
        <v>7</v>
      </c>
      <c r="B16" s="5" t="str">
        <f>IF(B15="","",VLOOKUP(B15,debl!$B$1:$C$46,2,FALSE))</f>
        <v/>
      </c>
      <c r="C16" s="5" t="str">
        <f>IF($B16="","bye",CONCATENATE(VLOOKUP($B16,sez!$A$2:$B$259,2)," (",VLOOKUP($B16,sez!$A$2:$E$259,4),")"))</f>
        <v>bye</v>
      </c>
      <c r="D16" s="12"/>
      <c r="E16" s="8" t="str">
        <f>'výs MIX'!V5</f>
        <v>Drápal Metoděj</v>
      </c>
      <c r="F16" s="2" t="str">
        <f>'výs MIX'!Z12</f>
        <v>3:0 (10,4,6)</v>
      </c>
      <c r="G16" s="8"/>
    </row>
    <row r="17" spans="1:8" x14ac:dyDescent="0.2">
      <c r="B17" s="100">
        <v>5</v>
      </c>
      <c r="C17" s="2" t="str">
        <f>IF($B17="","",CONCATENATE(VLOOKUP($B17,sez!$A$2:$B$259,2)," (",VLOOKUP($B17,sez!$A$2:$E$259,4),")"))</f>
        <v>Drápal Metoděj (MS Brno)</v>
      </c>
      <c r="D17" s="13"/>
      <c r="E17" s="7" t="str">
        <f>'výs MIX'!X5</f>
        <v>Novohradská Karolína</v>
      </c>
      <c r="G17" s="8"/>
    </row>
    <row r="18" spans="1:8" x14ac:dyDescent="0.2">
      <c r="A18" s="2">
        <v>8</v>
      </c>
      <c r="B18" s="5">
        <f>IF(B17="","",VLOOKUP(B17,debl!$B$1:$C$46,2,FALSE))</f>
        <v>42</v>
      </c>
      <c r="C18" s="5" t="str">
        <f>IF($B18="","bye",CONCATENATE(VLOOKUP($B18,sez!$A$2:$B$259,2)," (",VLOOKUP($B18,sez!$A$2:$E$259,4),")"))</f>
        <v>Novohradská Karolína (KST Blansko)</v>
      </c>
      <c r="D18" s="14"/>
      <c r="E18" s="2" t="str">
        <f>'výs MIX'!Z5</f>
        <v>3:0 (0,0,0)</v>
      </c>
      <c r="G18" s="8"/>
      <c r="H18" s="1" t="str">
        <f>'výs MIX'!V19</f>
        <v>Krištof Lukáš</v>
      </c>
    </row>
    <row r="19" spans="1:8" x14ac:dyDescent="0.2">
      <c r="B19" s="100">
        <v>6</v>
      </c>
      <c r="C19" s="2" t="str">
        <f>IF($B19="","",CONCATENATE(VLOOKUP($B19,sez!$A$2:$B$259,2)," (",VLOOKUP($B19,sez!$A$2:$E$259,4),")"))</f>
        <v>Pařízek Richard (SKST Hodonín)</v>
      </c>
      <c r="D19" s="15"/>
      <c r="F19" s="2" t="s">
        <v>97</v>
      </c>
      <c r="G19" s="8"/>
      <c r="H19" s="21" t="str">
        <f>'výs MIX'!X19</f>
        <v>Dreits Anastasiia</v>
      </c>
    </row>
    <row r="20" spans="1:8" x14ac:dyDescent="0.2">
      <c r="A20" s="2">
        <v>9</v>
      </c>
      <c r="B20" s="5">
        <f>IF(B19="","",VLOOKUP(B19,debl!$B$1:$C$46,2,FALSE))</f>
        <v>43</v>
      </c>
      <c r="C20" s="5" t="str">
        <f>IF($B20="","bye",CONCATENATE(VLOOKUP($B20,sez!$A$2:$B$259,2)," (",VLOOKUP($B20,sez!$A$2:$E$259,4),")"))</f>
        <v>Holubová Simona (SKST Hodonín)</v>
      </c>
      <c r="D20" s="12"/>
      <c r="E20" s="2" t="str">
        <f>'výs MIX'!V6</f>
        <v>Pařízek Richard</v>
      </c>
      <c r="G20" s="8"/>
      <c r="H20" s="74" t="str">
        <f>'výs MIX'!Z19</f>
        <v>3:0 (9,6,9)</v>
      </c>
    </row>
    <row r="21" spans="1:8" x14ac:dyDescent="0.2">
      <c r="B21" s="100"/>
      <c r="C21" s="2" t="str">
        <f>IF($B21="","",CONCATENATE(VLOOKUP($B21,sez!$A$2:$B$259,2)," (",VLOOKUP($B21,sez!$A$2:$E$259,4),")"))</f>
        <v/>
      </c>
      <c r="D21" s="13"/>
      <c r="E21" s="5" t="str">
        <f>'výs MIX'!X6</f>
        <v>Holubová Simona</v>
      </c>
      <c r="G21" s="8"/>
      <c r="H21" s="191"/>
    </row>
    <row r="22" spans="1:8" x14ac:dyDescent="0.2">
      <c r="A22" s="2">
        <v>10</v>
      </c>
      <c r="B22" s="5" t="str">
        <f>IF(B21="","",VLOOKUP(B21,debl!$B$1:$C$46,2,FALSE))</f>
        <v/>
      </c>
      <c r="C22" s="5" t="str">
        <f>IF($B22="","bye",CONCATENATE(VLOOKUP($B22,sez!$A$2:$B$259,2)," (",VLOOKUP($B22,sez!$A$2:$E$259,4),")"))</f>
        <v>bye</v>
      </c>
      <c r="D22" s="14"/>
      <c r="E22" s="6" t="str">
        <f>'výs MIX'!Z6</f>
        <v>3:0 (0,0,0)</v>
      </c>
      <c r="F22" s="2" t="str">
        <f>'výs MIX'!V13</f>
        <v>Pařízek Richard</v>
      </c>
      <c r="G22" s="8"/>
      <c r="H22" s="191"/>
    </row>
    <row r="23" spans="1:8" x14ac:dyDescent="0.2">
      <c r="B23" s="100"/>
      <c r="C23" s="2" t="str">
        <f>IF($B23="","",CONCATENATE(VLOOKUP($B23,sez!$A$2:$B$259,2)," (",VLOOKUP($B23,sez!$A$2:$E$259,4),")"))</f>
        <v/>
      </c>
      <c r="D23" s="15"/>
      <c r="E23" s="8"/>
      <c r="F23" s="9" t="str">
        <f>'výs MIX'!X13</f>
        <v>Holubová Simona</v>
      </c>
      <c r="G23" s="8"/>
      <c r="H23" s="191"/>
    </row>
    <row r="24" spans="1:8" x14ac:dyDescent="0.2">
      <c r="A24" s="2">
        <v>11</v>
      </c>
      <c r="B24" s="5" t="str">
        <f>IF(B23="","",VLOOKUP(B23,debl!$B$1:$C$46,2,FALSE))</f>
        <v/>
      </c>
      <c r="C24" s="5" t="str">
        <f>IF($B24="","bye",CONCATENATE(VLOOKUP($B24,sez!$A$2:$B$259,2)," (",VLOOKUP($B24,sez!$A$2:$E$259,4),")"))</f>
        <v>bye</v>
      </c>
      <c r="D24" s="12"/>
      <c r="E24" s="8" t="str">
        <f>'výs MIX'!V7</f>
        <v>Štěpánek Ondřej</v>
      </c>
      <c r="F24" s="6" t="str">
        <f>'výs MIX'!Z13</f>
        <v>3:1 (10,-7,5,8)</v>
      </c>
      <c r="G24" s="8"/>
      <c r="H24" s="191"/>
    </row>
    <row r="25" spans="1:8" x14ac:dyDescent="0.2">
      <c r="B25" s="100">
        <v>9</v>
      </c>
      <c r="C25" s="2" t="str">
        <f>IF($B25="","",CONCATENATE(VLOOKUP($B25,sez!$A$2:$B$259,2)," (",VLOOKUP($B25,sez!$A$2:$E$259,4),")"))</f>
        <v>Štěpánek Ondřej (KST Blansko)</v>
      </c>
      <c r="D25" s="13"/>
      <c r="E25" s="7" t="str">
        <f>'výs MIX'!X7</f>
        <v>Mazalová Kristýna</v>
      </c>
      <c r="F25" s="8"/>
      <c r="G25" s="8"/>
      <c r="H25" s="191"/>
    </row>
    <row r="26" spans="1:8" x14ac:dyDescent="0.2">
      <c r="A26" s="2">
        <v>12</v>
      </c>
      <c r="B26" s="5">
        <f>IF(B25="","",VLOOKUP(B25,debl!$B$1:$C$46,2,FALSE))</f>
        <v>47</v>
      </c>
      <c r="C26" s="5" t="str">
        <f>IF($B26="","bye",CONCATENATE(VLOOKUP($B26,sez!$A$2:$B$259,2)," (",VLOOKUP($B26,sez!$A$2:$E$259,4),")"))</f>
        <v>Mazalová Kristýna (KST Blansko)</v>
      </c>
      <c r="D26" s="14"/>
      <c r="E26" s="2" t="str">
        <f>'výs MIX'!Z7</f>
        <v>3:0 (0,0,0)</v>
      </c>
      <c r="F26" s="8"/>
      <c r="G26" s="8" t="str">
        <f>'výs MIX'!V17</f>
        <v>Krištof Lukáš</v>
      </c>
      <c r="H26" s="191"/>
    </row>
    <row r="27" spans="1:8" x14ac:dyDescent="0.2">
      <c r="B27" s="100">
        <v>10</v>
      </c>
      <c r="C27" s="2" t="str">
        <f>IF($B27="","",CONCATENATE(VLOOKUP($B27,sez!$A$2:$B$259,2)," (",VLOOKUP($B27,sez!$A$2:$E$259,4),")"))</f>
        <v>Vincenec Oliver (KST Vyškov)</v>
      </c>
      <c r="D27" s="15"/>
      <c r="F27" s="8"/>
      <c r="G27" s="10" t="str">
        <f>'výs MIX'!X17</f>
        <v>Dreits Anastasiia</v>
      </c>
      <c r="H27" s="191"/>
    </row>
    <row r="28" spans="1:8" x14ac:dyDescent="0.2">
      <c r="A28" s="2">
        <v>13</v>
      </c>
      <c r="B28" s="5">
        <f>IF(B27="","",VLOOKUP(B27,debl!$B$1:$C$46,2,FALSE))</f>
        <v>48</v>
      </c>
      <c r="C28" s="5" t="str">
        <f>IF($B28="","bye",CONCATENATE(VLOOKUP($B28,sez!$A$2:$B$259,2)," (",VLOOKUP($B28,sez!$A$2:$E$259,4),")"))</f>
        <v>Kotásková Kristýna (TJ Mikulčice)</v>
      </c>
      <c r="D28" s="12"/>
      <c r="E28" s="2" t="str">
        <f>'výs MIX'!V8</f>
        <v>Pluháček Adam</v>
      </c>
      <c r="F28" s="8"/>
      <c r="G28" s="2" t="str">
        <f>'výs MIX'!Z17</f>
        <v>3:0 (10,10,7)</v>
      </c>
      <c r="H28" s="81"/>
    </row>
    <row r="29" spans="1:8" x14ac:dyDescent="0.2">
      <c r="B29" s="100">
        <v>23</v>
      </c>
      <c r="C29" s="2" t="str">
        <f>IF($B29="","",CONCATENATE(VLOOKUP($B29,sez!$A$2:$B$259,2)," (",VLOOKUP($B29,sez!$A$2:$E$259,4),")"))</f>
        <v>Pluháček Adam (Sokol Brno I)</v>
      </c>
      <c r="D29" s="13"/>
      <c r="E29" s="5" t="str">
        <f>'výs MIX'!X8</f>
        <v>Pilitowská Lea</v>
      </c>
      <c r="F29" s="8"/>
      <c r="H29" s="81"/>
    </row>
    <row r="30" spans="1:8" x14ac:dyDescent="0.2">
      <c r="A30" s="2">
        <v>14</v>
      </c>
      <c r="B30" s="5">
        <f>IF(B29="","",VLOOKUP(B29,debl!$B$1:$C$46,2,FALSE))</f>
        <v>49</v>
      </c>
      <c r="C30" s="5" t="str">
        <f>IF($B30="","bye",CONCATENATE(VLOOKUP($B30,sez!$A$2:$B$259,2)," (",VLOOKUP($B30,sez!$A$2:$E$259,4),")"))</f>
        <v>Pilitowská Lea (KST Blansko)</v>
      </c>
      <c r="D30" s="14"/>
      <c r="E30" s="6" t="str">
        <f>'výs MIX'!Z8</f>
        <v>3:2 (-8,-6,7,10,12)</v>
      </c>
      <c r="F30" s="8" t="str">
        <f>'výs MIX'!V14</f>
        <v>Krištof Lukáš</v>
      </c>
      <c r="H30" s="81"/>
    </row>
    <row r="31" spans="1:8" x14ac:dyDescent="0.2">
      <c r="B31" s="100"/>
      <c r="C31" s="2" t="str">
        <f>IF($B31="","",CONCATENATE(VLOOKUP($B31,sez!$A$2:$B$259,2)," (",VLOOKUP($B31,sez!$A$2:$E$259,4),")"))</f>
        <v/>
      </c>
      <c r="D31" s="15"/>
      <c r="E31" s="8"/>
      <c r="F31" s="10" t="str">
        <f>'výs MIX'!X14</f>
        <v>Dreits Anastasiia</v>
      </c>
      <c r="H31" s="81"/>
    </row>
    <row r="32" spans="1:8" x14ac:dyDescent="0.2">
      <c r="A32" s="2">
        <v>15</v>
      </c>
      <c r="B32" s="5" t="str">
        <f>IF(B31="","",VLOOKUP(B31,debl!$B$1:$C$46,2,FALSE))</f>
        <v/>
      </c>
      <c r="C32" s="5" t="str">
        <f>IF($B32="","bye",CONCATENATE(VLOOKUP($B32,sez!$A$2:$B$259,2)," (",VLOOKUP($B32,sez!$A$2:$E$259,4),")"))</f>
        <v>bye</v>
      </c>
      <c r="D32" s="12"/>
      <c r="E32" s="8" t="str">
        <f>'výs MIX'!V9</f>
        <v>Krištof Lukáš</v>
      </c>
      <c r="F32" s="2" t="str">
        <f>'výs MIX'!Z14</f>
        <v>3:1 (6,-9,4,6)</v>
      </c>
      <c r="H32" s="81"/>
    </row>
    <row r="33" spans="1:8" x14ac:dyDescent="0.2">
      <c r="B33" s="100">
        <v>3</v>
      </c>
      <c r="C33" s="2" t="str">
        <f>IF($B33="","",CONCATENATE(VLOOKUP($B33,sez!$A$2:$B$259,2)," (",VLOOKUP($B33,sez!$A$2:$E$259,4),")"))</f>
        <v>Krištof Lukáš (Tišnov)</v>
      </c>
      <c r="D33" s="13"/>
      <c r="E33" s="7" t="str">
        <f>'výs MIX'!X9</f>
        <v>Dreits Anastasiia</v>
      </c>
      <c r="H33" s="81"/>
    </row>
    <row r="34" spans="1:8" x14ac:dyDescent="0.2">
      <c r="A34" s="2">
        <v>16</v>
      </c>
      <c r="B34" s="5">
        <f>IF(B33="","",VLOOKUP(B33,debl!$B$1:$C$46,2,FALSE))</f>
        <v>45</v>
      </c>
      <c r="C34" s="5" t="str">
        <f>IF($B34="","bye",CONCATENATE(VLOOKUP($B34,sez!$A$2:$B$259,2)," (",VLOOKUP($B34,sez!$A$2:$E$259,4),")"))</f>
        <v>Dreits Anastasiia (Tišnov)</v>
      </c>
      <c r="D34" s="14"/>
      <c r="E34" s="2" t="str">
        <f>'výs MIX'!Z9</f>
        <v>3:0 (0,0,0)</v>
      </c>
      <c r="H34" s="81"/>
    </row>
    <row r="35" spans="1:8" x14ac:dyDescent="0.2">
      <c r="C35" s="2" t="str">
        <f>IF($B35="","",CONCATENATE(VLOOKUP($B35,sez!$A$2:$B$259,2)," (",VLOOKUP($B35,sez!$A$2:$E$259,4),")"))</f>
        <v/>
      </c>
      <c r="D35" s="15"/>
      <c r="H35" s="81"/>
    </row>
    <row r="36" spans="1:8" x14ac:dyDescent="0.2">
      <c r="A36" s="81"/>
      <c r="B36" s="81"/>
      <c r="C36" s="81"/>
      <c r="D36" s="87"/>
      <c r="E36" s="81"/>
      <c r="F36" s="81"/>
      <c r="G36" s="81"/>
      <c r="H36" s="81"/>
    </row>
    <row r="37" spans="1:8" x14ac:dyDescent="0.2">
      <c r="A37" s="81"/>
      <c r="B37" s="81"/>
      <c r="C37" s="81"/>
      <c r="D37" s="87"/>
      <c r="E37" s="81"/>
      <c r="F37" s="81"/>
      <c r="G37" s="81"/>
      <c r="H37" s="81"/>
    </row>
    <row r="38" spans="1:8" x14ac:dyDescent="0.2">
      <c r="A38" s="81"/>
      <c r="B38" s="81"/>
      <c r="C38" s="81"/>
      <c r="D38" s="87"/>
      <c r="E38" s="81"/>
      <c r="F38" s="81"/>
      <c r="G38" s="81"/>
      <c r="H38" s="81"/>
    </row>
    <row r="39" spans="1:8" x14ac:dyDescent="0.2">
      <c r="A39" s="81"/>
      <c r="B39" s="81"/>
      <c r="C39" s="81"/>
      <c r="D39" s="87"/>
      <c r="E39" s="81"/>
      <c r="F39" s="81"/>
      <c r="G39" s="81"/>
      <c r="H39" s="81"/>
    </row>
    <row r="40" spans="1:8" x14ac:dyDescent="0.2">
      <c r="A40" s="81"/>
      <c r="B40" s="81"/>
      <c r="C40" s="81"/>
      <c r="D40" s="87"/>
      <c r="E40" s="81"/>
      <c r="F40" s="81"/>
      <c r="G40" s="81"/>
      <c r="H40" s="81"/>
    </row>
    <row r="41" spans="1:8" x14ac:dyDescent="0.2">
      <c r="A41" s="81"/>
      <c r="B41" s="81"/>
      <c r="C41" s="81"/>
      <c r="D41" s="87"/>
      <c r="E41" s="81"/>
      <c r="F41" s="81"/>
      <c r="G41" s="81"/>
      <c r="H41" s="81"/>
    </row>
    <row r="42" spans="1:8" x14ac:dyDescent="0.2">
      <c r="A42" s="81"/>
      <c r="B42" s="81"/>
      <c r="C42" s="81"/>
      <c r="D42" s="87"/>
      <c r="E42" s="81"/>
      <c r="F42" s="81"/>
      <c r="G42" s="81"/>
      <c r="H42" s="81"/>
    </row>
    <row r="43" spans="1:8" x14ac:dyDescent="0.2">
      <c r="A43" s="81"/>
      <c r="B43" s="81"/>
      <c r="C43" s="81"/>
      <c r="D43" s="87"/>
      <c r="E43" s="81"/>
      <c r="F43" s="81"/>
      <c r="G43" s="81"/>
      <c r="H43" s="81"/>
    </row>
    <row r="44" spans="1:8" x14ac:dyDescent="0.2">
      <c r="A44" s="81"/>
      <c r="B44" s="81"/>
      <c r="C44" s="81"/>
      <c r="D44" s="87"/>
      <c r="E44" s="81"/>
      <c r="F44" s="81"/>
      <c r="G44" s="81"/>
      <c r="H44" s="81"/>
    </row>
    <row r="45" spans="1:8" x14ac:dyDescent="0.2">
      <c r="A45" s="81"/>
      <c r="B45" s="81"/>
      <c r="C45" s="81"/>
      <c r="D45" s="87"/>
      <c r="E45" s="81"/>
      <c r="F45" s="81"/>
      <c r="G45" s="81"/>
      <c r="H45" s="81"/>
    </row>
    <row r="46" spans="1:8" x14ac:dyDescent="0.2">
      <c r="A46" s="81"/>
      <c r="B46" s="81"/>
      <c r="C46" s="81"/>
      <c r="D46" s="87"/>
      <c r="E46" s="81"/>
      <c r="F46" s="81"/>
      <c r="G46" s="81"/>
      <c r="H46" s="81"/>
    </row>
    <row r="47" spans="1:8" x14ac:dyDescent="0.2">
      <c r="A47" s="81"/>
      <c r="B47" s="81"/>
      <c r="C47" s="81"/>
      <c r="D47" s="87"/>
      <c r="E47" s="81"/>
      <c r="F47" s="81"/>
      <c r="G47" s="81"/>
      <c r="H47" s="81"/>
    </row>
    <row r="48" spans="1:8" x14ac:dyDescent="0.2">
      <c r="A48" s="81"/>
      <c r="B48" s="81"/>
      <c r="C48" s="81"/>
      <c r="D48" s="87"/>
      <c r="E48" s="81"/>
      <c r="F48" s="81"/>
      <c r="G48" s="81"/>
      <c r="H48" s="81"/>
    </row>
    <row r="49" spans="1:8" x14ac:dyDescent="0.2">
      <c r="A49" s="81"/>
      <c r="B49" s="81"/>
      <c r="C49" s="81"/>
      <c r="D49" s="87"/>
      <c r="E49" s="81"/>
      <c r="F49" s="81"/>
      <c r="G49" s="81"/>
      <c r="H49" s="81"/>
    </row>
    <row r="50" spans="1:8" x14ac:dyDescent="0.2">
      <c r="A50" s="81"/>
      <c r="B50" s="81"/>
      <c r="C50" s="81"/>
      <c r="D50" s="87"/>
      <c r="E50" s="81"/>
      <c r="F50" s="81"/>
      <c r="G50" s="81"/>
      <c r="H50" s="88"/>
    </row>
    <row r="51" spans="1:8" x14ac:dyDescent="0.2">
      <c r="A51" s="81"/>
      <c r="B51" s="81"/>
      <c r="C51" s="81"/>
      <c r="D51" s="87"/>
      <c r="E51" s="81"/>
      <c r="F51" s="81"/>
      <c r="G51" s="81"/>
      <c r="H51" s="88"/>
    </row>
    <row r="52" spans="1:8" x14ac:dyDescent="0.2">
      <c r="A52" s="81"/>
      <c r="B52" s="81"/>
      <c r="C52" s="81"/>
      <c r="D52" s="87"/>
      <c r="E52" s="81"/>
      <c r="F52" s="81"/>
      <c r="G52" s="81"/>
      <c r="H52" s="81"/>
    </row>
    <row r="53" spans="1:8" x14ac:dyDescent="0.2">
      <c r="A53" s="81"/>
      <c r="B53" s="81"/>
      <c r="C53" s="81"/>
      <c r="D53" s="87"/>
      <c r="E53" s="81"/>
      <c r="F53" s="81"/>
      <c r="G53" s="81"/>
      <c r="H53" s="81"/>
    </row>
    <row r="54" spans="1:8" x14ac:dyDescent="0.2">
      <c r="A54" s="81"/>
      <c r="B54" s="81"/>
      <c r="C54" s="81"/>
      <c r="D54" s="87"/>
      <c r="E54" s="81"/>
      <c r="F54" s="81"/>
      <c r="G54" s="81"/>
      <c r="H54" s="81"/>
    </row>
    <row r="55" spans="1:8" x14ac:dyDescent="0.2">
      <c r="A55" s="81"/>
      <c r="B55" s="81"/>
      <c r="C55" s="81"/>
      <c r="D55" s="87"/>
      <c r="E55" s="81"/>
      <c r="F55" s="81"/>
      <c r="G55" s="81"/>
      <c r="H55" s="81"/>
    </row>
    <row r="56" spans="1:8" x14ac:dyDescent="0.2">
      <c r="A56" s="81"/>
      <c r="B56" s="81"/>
      <c r="C56" s="81"/>
      <c r="D56" s="87"/>
      <c r="E56" s="81"/>
      <c r="F56" s="81"/>
      <c r="G56" s="81"/>
      <c r="H56" s="81"/>
    </row>
    <row r="57" spans="1:8" x14ac:dyDescent="0.2">
      <c r="A57" s="81"/>
      <c r="B57" s="81"/>
      <c r="C57" s="81"/>
      <c r="D57" s="87"/>
      <c r="E57" s="81"/>
      <c r="F57" s="81"/>
      <c r="G57" s="81"/>
      <c r="H57" s="81"/>
    </row>
    <row r="58" spans="1:8" x14ac:dyDescent="0.2">
      <c r="A58" s="81"/>
      <c r="B58" s="81"/>
      <c r="C58" s="81"/>
      <c r="D58" s="87"/>
      <c r="E58" s="81"/>
      <c r="F58" s="81"/>
      <c r="G58" s="81"/>
      <c r="H58" s="81"/>
    </row>
    <row r="59" spans="1:8" x14ac:dyDescent="0.2">
      <c r="A59" s="81"/>
      <c r="B59" s="81"/>
      <c r="C59" s="81"/>
      <c r="D59" s="87"/>
      <c r="E59" s="81"/>
      <c r="F59" s="81"/>
      <c r="G59" s="81"/>
      <c r="H59" s="81"/>
    </row>
    <row r="60" spans="1:8" x14ac:dyDescent="0.2">
      <c r="A60" s="81"/>
      <c r="B60" s="81"/>
      <c r="C60" s="81"/>
      <c r="D60" s="87"/>
      <c r="E60" s="81"/>
      <c r="F60" s="81"/>
      <c r="G60" s="81"/>
      <c r="H60" s="81"/>
    </row>
    <row r="61" spans="1:8" x14ac:dyDescent="0.2">
      <c r="A61" s="81"/>
      <c r="B61" s="81"/>
      <c r="C61" s="81"/>
      <c r="D61" s="87"/>
      <c r="E61" s="81"/>
      <c r="F61" s="81"/>
      <c r="G61" s="81"/>
      <c r="H61" s="81"/>
    </row>
    <row r="62" spans="1:8" x14ac:dyDescent="0.2">
      <c r="A62" s="81"/>
      <c r="B62" s="81"/>
      <c r="C62" s="81"/>
      <c r="D62" s="87"/>
      <c r="E62" s="81"/>
      <c r="F62" s="81"/>
      <c r="G62" s="81"/>
      <c r="H62" s="81"/>
    </row>
    <row r="63" spans="1:8" x14ac:dyDescent="0.2">
      <c r="A63" s="81"/>
      <c r="B63" s="81"/>
      <c r="C63" s="81"/>
      <c r="D63" s="87"/>
      <c r="E63" s="81"/>
      <c r="F63" s="81"/>
      <c r="G63" s="81"/>
      <c r="H63" s="81"/>
    </row>
    <row r="64" spans="1:8" x14ac:dyDescent="0.2">
      <c r="A64" s="81"/>
      <c r="B64" s="81"/>
      <c r="C64" s="81"/>
      <c r="D64" s="87"/>
      <c r="E64" s="81"/>
      <c r="F64" s="81"/>
      <c r="G64" s="81"/>
      <c r="H64" s="81"/>
    </row>
    <row r="65" spans="1:8" x14ac:dyDescent="0.2">
      <c r="A65" s="81"/>
      <c r="B65" s="81"/>
      <c r="C65" s="81"/>
      <c r="D65" s="87"/>
      <c r="E65" s="81"/>
      <c r="F65" s="81"/>
      <c r="G65" s="81"/>
      <c r="H65" s="81"/>
    </row>
    <row r="66" spans="1:8" x14ac:dyDescent="0.2">
      <c r="A66" s="81"/>
      <c r="B66" s="81"/>
      <c r="C66" s="81"/>
      <c r="D66" s="87"/>
      <c r="E66" s="81"/>
      <c r="F66" s="81"/>
      <c r="G66" s="81"/>
      <c r="H66" s="81"/>
    </row>
    <row r="67" spans="1:8" x14ac:dyDescent="0.2">
      <c r="D67" s="87"/>
    </row>
  </sheetData>
  <phoneticPr fontId="0" type="noConversion"/>
  <printOptions horizontalCentered="1"/>
  <pageMargins left="0.39370078740157483" right="0.39370078740157483" top="0.39370078740157483" bottom="0.59055118110236227" header="0.51181102362204722" footer="0.51181102362204722"/>
  <pageSetup paperSize="9" scale="84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F20"/>
  <sheetViews>
    <sheetView workbookViewId="0">
      <pane ySplit="1" topLeftCell="A2" activePane="bottomLeft" state="frozen"/>
      <selection activeCell="H19" sqref="H19"/>
      <selection pane="bottomLeft" activeCell="Q19" sqref="Q19"/>
    </sheetView>
  </sheetViews>
  <sheetFormatPr defaultRowHeight="12.75" x14ac:dyDescent="0.2"/>
  <cols>
    <col min="1" max="1" width="19.5703125" style="2" customWidth="1"/>
    <col min="2" max="2" width="4.5703125" style="2" bestFit="1" customWidth="1"/>
    <col min="3" max="3" width="16" style="102" bestFit="1" customWidth="1"/>
    <col min="4" max="4" width="7" style="102" bestFit="1" customWidth="1"/>
    <col min="5" max="5" width="4.5703125" style="102" bestFit="1" customWidth="1"/>
    <col min="6" max="6" width="16" style="102" bestFit="1" customWidth="1"/>
    <col min="7" max="7" width="7" style="102" bestFit="1" customWidth="1"/>
    <col min="8" max="8" width="4.85546875" style="102" bestFit="1" customWidth="1"/>
    <col min="9" max="9" width="16" style="102" bestFit="1" customWidth="1"/>
    <col min="10" max="10" width="7" style="102" bestFit="1" customWidth="1"/>
    <col min="11" max="11" width="4.85546875" style="102" bestFit="1" customWidth="1"/>
    <col min="12" max="12" width="18.28515625" style="102" customWidth="1"/>
    <col min="13" max="13" width="7" style="2" bestFit="1" customWidth="1"/>
    <col min="14" max="15" width="3.85546875" style="2" customWidth="1"/>
    <col min="16" max="20" width="4.28515625" style="2" customWidth="1"/>
    <col min="21" max="21" width="4.5703125" style="2" bestFit="1" customWidth="1"/>
    <col min="22" max="22" width="12" style="2" customWidth="1"/>
    <col min="23" max="23" width="4.140625" style="2" customWidth="1"/>
    <col min="24" max="24" width="11" style="2" customWidth="1"/>
    <col min="25" max="25" width="3.140625" style="2" customWidth="1"/>
    <col min="26" max="26" width="21.7109375" style="2" bestFit="1" customWidth="1"/>
    <col min="27" max="27" width="2.7109375" style="2" customWidth="1"/>
    <col min="28" max="32" width="4.140625" style="2" customWidth="1"/>
    <col min="33" max="16384" width="9.140625" style="2"/>
  </cols>
  <sheetData>
    <row r="1" spans="1:32" ht="13.5" thickBot="1" x14ac:dyDescent="0.25">
      <c r="B1" s="1" t="s">
        <v>0</v>
      </c>
      <c r="C1" s="101" t="s">
        <v>1</v>
      </c>
      <c r="D1" s="101" t="s">
        <v>2</v>
      </c>
      <c r="E1" s="101" t="s">
        <v>0</v>
      </c>
      <c r="F1" s="101" t="s">
        <v>3</v>
      </c>
      <c r="G1" s="101" t="s">
        <v>2</v>
      </c>
      <c r="H1" s="101" t="s">
        <v>0</v>
      </c>
      <c r="I1" s="101" t="s">
        <v>14</v>
      </c>
      <c r="J1" s="101" t="s">
        <v>2</v>
      </c>
      <c r="K1" s="101" t="s">
        <v>0</v>
      </c>
      <c r="L1" s="101" t="s">
        <v>15</v>
      </c>
      <c r="M1" s="1" t="s">
        <v>2</v>
      </c>
      <c r="N1" s="23" t="s">
        <v>4</v>
      </c>
      <c r="O1" s="23" t="s">
        <v>5</v>
      </c>
      <c r="P1" s="23" t="s">
        <v>6</v>
      </c>
      <c r="Q1" s="23" t="s">
        <v>7</v>
      </c>
      <c r="R1" s="23" t="s">
        <v>8</v>
      </c>
      <c r="S1" s="1" t="s">
        <v>9</v>
      </c>
      <c r="T1" s="1" t="s">
        <v>10</v>
      </c>
      <c r="U1" s="1" t="s">
        <v>11</v>
      </c>
    </row>
    <row r="2" spans="1:32" ht="13.5" thickTop="1" x14ac:dyDescent="0.2">
      <c r="A2" s="131" t="str">
        <f>CONCATENATE("MIX ",úvod!$C$8," - 1.kolo")</f>
        <v>MIX U19 - 1.kolo</v>
      </c>
      <c r="B2" s="131">
        <f>MIX!$B$3</f>
        <v>4</v>
      </c>
      <c r="C2" s="131" t="str">
        <f>IF($B2=0,"bye",VLOOKUP($B2,sez!$A$2:$D$259,2))</f>
        <v>Luska Petr</v>
      </c>
      <c r="D2" s="131" t="str">
        <f>IF($B2=0,"",VLOOKUP($B2,sez!$A$2:$D$259,4))</f>
        <v>KST Vyškov</v>
      </c>
      <c r="E2" s="131">
        <f>MIX!$B$4</f>
        <v>41</v>
      </c>
      <c r="F2" s="131" t="str">
        <f>IF($E2="","bye",VLOOKUP($E2,sez!$A$2:$D$259,2))</f>
        <v>Sobotíková Monika</v>
      </c>
      <c r="G2" s="131" t="str">
        <f>IF($E2="","",VLOOKUP($E2,sez!$A$2:$D$259,4))</f>
        <v>MS Brno</v>
      </c>
      <c r="H2" s="131">
        <f>MIX!$B$5</f>
        <v>0</v>
      </c>
      <c r="I2" s="131" t="str">
        <f>IF($H2=0,"bye",VLOOKUP($H2,sez!$A$2:$D$259,2))</f>
        <v>bye</v>
      </c>
      <c r="J2" s="131" t="str">
        <f>IF($H2=0,"",VLOOKUP($H2,sez!$A$2:$D$259,4))</f>
        <v/>
      </c>
      <c r="K2" s="131" t="str">
        <f>MIX!$B$6</f>
        <v/>
      </c>
      <c r="L2" s="131" t="str">
        <f>IF($K2="","bye",VLOOKUP($K2,sez!$A$2:$D$259,2))</f>
        <v>bye</v>
      </c>
      <c r="M2" s="131" t="str">
        <f>IF($K2="","",VLOOKUP($K2,sez!$A$2:$D$259,4))</f>
        <v/>
      </c>
      <c r="N2" s="62" t="s">
        <v>89</v>
      </c>
      <c r="O2" s="63" t="s">
        <v>89</v>
      </c>
      <c r="P2" s="63" t="s">
        <v>89</v>
      </c>
      <c r="Q2" s="63"/>
      <c r="R2" s="64"/>
      <c r="S2" s="2">
        <f>COUNTIF(AB2:AF2,"&gt;0")</f>
        <v>3</v>
      </c>
      <c r="T2" s="2">
        <f>COUNTIF(AB2:AF2,"&lt;0")</f>
        <v>0</v>
      </c>
      <c r="U2" s="2">
        <f t="shared" ref="U2:U9" si="0">IF(S2=T2,0,IF(S2&gt;T2,B2,H2))</f>
        <v>4</v>
      </c>
      <c r="V2" s="2" t="str">
        <f>IF($U2=0,"",VLOOKUP($U2,sez!$A$2:$D$259,2))</f>
        <v>Luska Petr</v>
      </c>
      <c r="W2" s="2">
        <f t="shared" ref="W2:W9" si="1">IF(S2=T2,0,IF(S2&gt;T2,E2,K2))</f>
        <v>41</v>
      </c>
      <c r="X2" s="2" t="str">
        <f>IF($W2=0,"",VLOOKUP($W2,sez!$A$2:$D$259,2))</f>
        <v>Sobotíková Monika</v>
      </c>
      <c r="Y2" s="2" t="str">
        <f>IF(S2=T2,"",IF(S2&gt;T2,CONCATENATE(S2,":",T2," (",N2,",",O2,",",P2,IF(SUM(S2:T2)&gt;3,",",""),Q2,IF(SUM(S2:T2)&gt;4,",",""),R2,")"),CONCATENATE(T2,":",S2," (",-N2,",",-O2,",",-P2,IF(SUM(S2:T2)&gt;3,",",""),IF(SUM(S2:T2)&gt;3,-Q2,""),IF(SUM(S2:T2)&gt;4,",",""),IF(SUM(S2:T2)&gt;4,-R2,""),")")))</f>
        <v>3:0 (0,0,0)</v>
      </c>
      <c r="Z2" s="2" t="str">
        <f>IF(MAX(S2:T2)=3,Y2,"")</f>
        <v>3:0 (0,0,0)</v>
      </c>
      <c r="AB2" s="24">
        <f t="shared" ref="AB2:AF3" si="2">IF(N2="",0,IF(MID(N2,1,1)="-",-1,1))</f>
        <v>1</v>
      </c>
      <c r="AC2" s="24">
        <f t="shared" si="2"/>
        <v>1</v>
      </c>
      <c r="AD2" s="24">
        <f t="shared" si="2"/>
        <v>1</v>
      </c>
      <c r="AE2" s="24">
        <f t="shared" si="2"/>
        <v>0</v>
      </c>
      <c r="AF2" s="24">
        <f t="shared" si="2"/>
        <v>0</v>
      </c>
    </row>
    <row r="3" spans="1:32" x14ac:dyDescent="0.2">
      <c r="A3" s="131" t="str">
        <f>CONCATENATE("MIX ",úvod!$C$8," - 1.kolo")</f>
        <v>MIX U19 - 1.kolo</v>
      </c>
      <c r="B3" s="131">
        <f>MIX!$B$7</f>
        <v>16</v>
      </c>
      <c r="C3" s="131" t="str">
        <f>IF($B3=0,"bye",VLOOKUP($B3,sez!$A$2:$D$259,2))</f>
        <v>Šimeček Robin</v>
      </c>
      <c r="D3" s="131" t="str">
        <f>IF($B3=0,"",VLOOKUP($B3,sez!$A$2:$D$259,4))</f>
        <v>TJ Holásky</v>
      </c>
      <c r="E3" s="131">
        <f>MIX!$B$8</f>
        <v>51</v>
      </c>
      <c r="F3" s="131" t="str">
        <f>IF($E3="","bye",VLOOKUP($E3,sez!$A$2:$D$259,2))</f>
        <v>Bedřichová Ema</v>
      </c>
      <c r="G3" s="131" t="str">
        <f>IF($E3="","",VLOOKUP($E3,sez!$A$2:$D$259,4))</f>
        <v>Klobouky u Brna</v>
      </c>
      <c r="H3" s="131">
        <f>MIX!$B$9</f>
        <v>8</v>
      </c>
      <c r="I3" s="131" t="str">
        <f>IF($H3=0,"bye",VLOOKUP($H3,sez!$A$2:$D$259,2))</f>
        <v>Pokorný Martin</v>
      </c>
      <c r="J3" s="131" t="str">
        <f>IF($H3=0,"",VLOOKUP($H3,sez!$A$2:$D$259,4))</f>
        <v>KST Blansko</v>
      </c>
      <c r="K3" s="131">
        <f>MIX!$B$10</f>
        <v>52</v>
      </c>
      <c r="L3" s="131" t="str">
        <f>IF($K3="","bye",VLOOKUP($K3,sez!$A$2:$D$259,2))</f>
        <v>Habáňová Michaela</v>
      </c>
      <c r="M3" s="131" t="str">
        <f>IF($K3="","",VLOOKUP($K3,sez!$A$2:$D$259,4))</f>
        <v>KST Blansko</v>
      </c>
      <c r="N3" s="65" t="s">
        <v>74</v>
      </c>
      <c r="O3" s="66" t="s">
        <v>79</v>
      </c>
      <c r="P3" s="66" t="s">
        <v>80</v>
      </c>
      <c r="Q3" s="66"/>
      <c r="R3" s="67"/>
      <c r="S3" s="2">
        <f>COUNTIF(AB3:AF3,"&gt;0")</f>
        <v>0</v>
      </c>
      <c r="T3" s="2">
        <f>COUNTIF(AB3:AF3,"&lt;0")</f>
        <v>3</v>
      </c>
      <c r="U3" s="2">
        <f t="shared" si="0"/>
        <v>8</v>
      </c>
      <c r="V3" s="2" t="str">
        <f>IF($U3=0,"",VLOOKUP($U3,sez!$A$2:$D$259,2))</f>
        <v>Pokorný Martin</v>
      </c>
      <c r="W3" s="2">
        <f t="shared" si="1"/>
        <v>52</v>
      </c>
      <c r="X3" s="2" t="str">
        <f>IF($W3=0,"",VLOOKUP($W3,sez!$A$2:$D$259,2))</f>
        <v>Habáňová Michaela</v>
      </c>
      <c r="Y3" s="2" t="str">
        <f>IF(S3=T3,"",IF(S3&gt;T3,CONCATENATE(S3,":",T3," (",N3,",",O3,",",P3,IF(SUM(S3:T3)&gt;3,",",""),Q3,IF(SUM(S3:T3)&gt;4,",",""),R3,")"),CONCATENATE(T3,":",S3," (",-N3,",",-O3,",",-P3,IF(SUM(S3:T3)&gt;3,",",""),IF(SUM(S3:T3)&gt;3,-Q3,""),IF(SUM(S3:T3)&gt;4,",",""),IF(SUM(S3:T3)&gt;4,-R3,""),")")))</f>
        <v>3:0 (2,7,5)</v>
      </c>
      <c r="Z3" s="2" t="str">
        <f t="shared" ref="Z3:Z9" si="3">IF(MAX(S3:T3)=3,Y3,"")</f>
        <v>3:0 (2,7,5)</v>
      </c>
      <c r="AB3" s="24">
        <f t="shared" si="2"/>
        <v>-1</v>
      </c>
      <c r="AC3" s="24">
        <f t="shared" si="2"/>
        <v>-1</v>
      </c>
      <c r="AD3" s="24">
        <f t="shared" si="2"/>
        <v>-1</v>
      </c>
      <c r="AE3" s="24">
        <f t="shared" si="2"/>
        <v>0</v>
      </c>
      <c r="AF3" s="24">
        <f t="shared" si="2"/>
        <v>0</v>
      </c>
    </row>
    <row r="4" spans="1:32" x14ac:dyDescent="0.2">
      <c r="A4" s="131" t="str">
        <f>CONCATENATE("MIX ",úvod!$C$8," - 1.kolo")</f>
        <v>MIX U19 - 1.kolo</v>
      </c>
      <c r="B4" s="131">
        <f>MIX!$B$11</f>
        <v>11</v>
      </c>
      <c r="C4" s="131" t="str">
        <f>IF($B4=0,"bye",VLOOKUP($B4,sez!$A$2:$D$259,2))</f>
        <v>Krejčí David</v>
      </c>
      <c r="D4" s="131" t="str">
        <f>IF($B4=0,"",VLOOKUP($B4,sez!$A$2:$D$259,4))</f>
        <v>MS Brno</v>
      </c>
      <c r="E4" s="131">
        <f>MIX!$B$12</f>
        <v>44</v>
      </c>
      <c r="F4" s="131" t="str">
        <f>IF($E4="","bye",VLOOKUP($E4,sez!$A$2:$D$259,2))</f>
        <v>Novotná Eliška</v>
      </c>
      <c r="G4" s="131" t="str">
        <f>IF($E4="","",VLOOKUP($E4,sez!$A$2:$D$259,4))</f>
        <v>SKST Hodonín</v>
      </c>
      <c r="H4" s="131">
        <f>MIX!$B$13</f>
        <v>0</v>
      </c>
      <c r="I4" s="131" t="str">
        <f>IF($H4=0,"bye",VLOOKUP($H4,sez!$A$2:$D$259,2))</f>
        <v>bye</v>
      </c>
      <c r="J4" s="131" t="str">
        <f>IF($H4=0,"",VLOOKUP($H4,sez!$A$2:$D$259,4))</f>
        <v/>
      </c>
      <c r="K4" s="131" t="str">
        <f>MIX!$B$14</f>
        <v/>
      </c>
      <c r="L4" s="131" t="str">
        <f>IF($K4="","bye",VLOOKUP($K4,sez!$A$2:$D$259,2))</f>
        <v>bye</v>
      </c>
      <c r="M4" s="131" t="str">
        <f>IF($K4="","",VLOOKUP($K4,sez!$A$2:$D$259,4))</f>
        <v/>
      </c>
      <c r="N4" s="65" t="s">
        <v>89</v>
      </c>
      <c r="O4" s="66" t="s">
        <v>89</v>
      </c>
      <c r="P4" s="66" t="s">
        <v>89</v>
      </c>
      <c r="Q4" s="66"/>
      <c r="R4" s="67"/>
      <c r="S4" s="2">
        <f t="shared" ref="S4:S9" si="4">COUNTIF(AB4:AF4,"&gt;0")</f>
        <v>3</v>
      </c>
      <c r="T4" s="2">
        <f t="shared" ref="T4:T9" si="5">COUNTIF(AB4:AF4,"&lt;0")</f>
        <v>0</v>
      </c>
      <c r="U4" s="2">
        <f t="shared" si="0"/>
        <v>11</v>
      </c>
      <c r="V4" s="2" t="str">
        <f>IF($U4=0,"",VLOOKUP($U4,sez!$A$2:$D$259,2))</f>
        <v>Krejčí David</v>
      </c>
      <c r="W4" s="2">
        <f t="shared" si="1"/>
        <v>44</v>
      </c>
      <c r="X4" s="2" t="str">
        <f>IF($W4=0,"",VLOOKUP($W4,sez!$A$2:$D$259,2))</f>
        <v>Novotná Eliška</v>
      </c>
      <c r="Y4" s="2" t="str">
        <f t="shared" ref="Y4:Y9" si="6">IF(S4=T4,"",IF(S4&gt;T4,CONCATENATE(S4,":",T4," (",N4,",",O4,",",P4,IF(SUM(S4:T4)&gt;3,",",""),Q4,IF(SUM(S4:T4)&gt;4,",",""),R4,")"),CONCATENATE(T4,":",S4," (",-N4,",",-O4,",",-P4,IF(SUM(S4:T4)&gt;3,",",""),IF(SUM(S4:T4)&gt;3,-Q4,""),IF(SUM(S4:T4)&gt;4,",",""),IF(SUM(S4:T4)&gt;4,-R4,""),")")))</f>
        <v>3:0 (0,0,0)</v>
      </c>
      <c r="Z4" s="2" t="str">
        <f t="shared" si="3"/>
        <v>3:0 (0,0,0)</v>
      </c>
      <c r="AB4" s="24">
        <f t="shared" ref="AB4:AB9" si="7">IF(N4="",0,IF(MID(N4,1,1)="-",-1,1))</f>
        <v>1</v>
      </c>
      <c r="AC4" s="24">
        <f t="shared" ref="AC4:AC9" si="8">IF(O4="",0,IF(MID(O4,1,1)="-",-1,1))</f>
        <v>1</v>
      </c>
      <c r="AD4" s="24">
        <f t="shared" ref="AD4:AD9" si="9">IF(P4="",0,IF(MID(P4,1,1)="-",-1,1))</f>
        <v>1</v>
      </c>
      <c r="AE4" s="24">
        <f t="shared" ref="AE4:AE9" si="10">IF(Q4="",0,IF(MID(Q4,1,1)="-",-1,1))</f>
        <v>0</v>
      </c>
      <c r="AF4" s="24">
        <f t="shared" ref="AF4:AF9" si="11">IF(R4="",0,IF(MID(R4,1,1)="-",-1,1))</f>
        <v>0</v>
      </c>
    </row>
    <row r="5" spans="1:32" x14ac:dyDescent="0.2">
      <c r="A5" s="131" t="str">
        <f>CONCATENATE("MIX ",úvod!$C$8," - 1.kolo")</f>
        <v>MIX U19 - 1.kolo</v>
      </c>
      <c r="B5" s="131">
        <f>MIX!$B$15</f>
        <v>0</v>
      </c>
      <c r="C5" s="131" t="str">
        <f>IF($B5=0,"bye",VLOOKUP($B5,sez!$A$2:$D$259,2))</f>
        <v>bye</v>
      </c>
      <c r="D5" s="131" t="str">
        <f>IF($B5=0,"",VLOOKUP($B5,sez!$A$2:$D$259,4))</f>
        <v/>
      </c>
      <c r="E5" s="131" t="str">
        <f>MIX!$B$16</f>
        <v/>
      </c>
      <c r="F5" s="131" t="str">
        <f>IF($E5="","bye",VLOOKUP($E5,sez!$A$2:$D$259,2))</f>
        <v>bye</v>
      </c>
      <c r="G5" s="131" t="str">
        <f>IF($E5="","",VLOOKUP($E5,sez!$A$2:$D$259,4))</f>
        <v/>
      </c>
      <c r="H5" s="131">
        <f>MIX!$B$17</f>
        <v>5</v>
      </c>
      <c r="I5" s="131" t="str">
        <f>IF($H5=0,"bye",VLOOKUP($H5,sez!$A$2:$D$259,2))</f>
        <v>Drápal Metoděj</v>
      </c>
      <c r="J5" s="131" t="str">
        <f>IF($H5=0,"",VLOOKUP($H5,sez!$A$2:$D$259,4))</f>
        <v>MS Brno</v>
      </c>
      <c r="K5" s="131">
        <f>MIX!$B$18</f>
        <v>42</v>
      </c>
      <c r="L5" s="131" t="str">
        <f>IF($K5="","bye",VLOOKUP($K5,sez!$A$2:$D$259,2))</f>
        <v>Novohradská Karolína</v>
      </c>
      <c r="M5" s="131" t="str">
        <f>IF($K5="","",VLOOKUP($K5,sez!$A$2:$D$259,4))</f>
        <v>KST Blansko</v>
      </c>
      <c r="N5" s="65" t="s">
        <v>84</v>
      </c>
      <c r="O5" s="66" t="s">
        <v>84</v>
      </c>
      <c r="P5" s="66" t="s">
        <v>84</v>
      </c>
      <c r="Q5" s="66"/>
      <c r="R5" s="67"/>
      <c r="S5" s="2">
        <f t="shared" si="4"/>
        <v>0</v>
      </c>
      <c r="T5" s="2">
        <f t="shared" si="5"/>
        <v>3</v>
      </c>
      <c r="U5" s="2">
        <f t="shared" si="0"/>
        <v>5</v>
      </c>
      <c r="V5" s="2" t="str">
        <f>IF($U5=0,"",VLOOKUP($U5,sez!$A$2:$D$259,2))</f>
        <v>Drápal Metoděj</v>
      </c>
      <c r="W5" s="2">
        <f t="shared" si="1"/>
        <v>42</v>
      </c>
      <c r="X5" s="2" t="str">
        <f>IF($W5=0,"",VLOOKUP($W5,sez!$A$2:$D$259,2))</f>
        <v>Novohradská Karolína</v>
      </c>
      <c r="Y5" s="2" t="str">
        <f t="shared" si="6"/>
        <v>3:0 (0,0,0)</v>
      </c>
      <c r="Z5" s="2" t="str">
        <f t="shared" si="3"/>
        <v>3:0 (0,0,0)</v>
      </c>
      <c r="AB5" s="24">
        <f t="shared" si="7"/>
        <v>-1</v>
      </c>
      <c r="AC5" s="24">
        <f t="shared" si="8"/>
        <v>-1</v>
      </c>
      <c r="AD5" s="24">
        <f t="shared" si="9"/>
        <v>-1</v>
      </c>
      <c r="AE5" s="24">
        <f t="shared" si="10"/>
        <v>0</v>
      </c>
      <c r="AF5" s="24">
        <f t="shared" si="11"/>
        <v>0</v>
      </c>
    </row>
    <row r="6" spans="1:32" x14ac:dyDescent="0.2">
      <c r="A6" s="131" t="str">
        <f>CONCATENATE("MIX ",úvod!$C$8," - 1.kolo")</f>
        <v>MIX U19 - 1.kolo</v>
      </c>
      <c r="B6" s="131">
        <f>MIX!$B$19</f>
        <v>6</v>
      </c>
      <c r="C6" s="131" t="str">
        <f>IF($B6=0,"bye",VLOOKUP($B6,sez!$A$2:$D$259,2))</f>
        <v>Pařízek Richard</v>
      </c>
      <c r="D6" s="131" t="str">
        <f>IF($B6=0,"",VLOOKUP($B6,sez!$A$2:$D$259,4))</f>
        <v>SKST Hodonín</v>
      </c>
      <c r="E6" s="131">
        <f>MIX!$B$20</f>
        <v>43</v>
      </c>
      <c r="F6" s="131" t="str">
        <f>IF($E6="","bye",VLOOKUP($E6,sez!$A$2:$D$259,2))</f>
        <v>Holubová Simona</v>
      </c>
      <c r="G6" s="131" t="str">
        <f>IF($E6="","",VLOOKUP($E6,sez!$A$2:$D$259,4))</f>
        <v>SKST Hodonín</v>
      </c>
      <c r="H6" s="131">
        <f>MIX!$B$21</f>
        <v>0</v>
      </c>
      <c r="I6" s="131" t="str">
        <f>IF($H6=0,"bye",VLOOKUP($H6,sez!$A$2:$D$259,2))</f>
        <v>bye</v>
      </c>
      <c r="J6" s="131" t="str">
        <f>IF($H6=0,"",VLOOKUP($H6,sez!$A$2:$D$259,4))</f>
        <v/>
      </c>
      <c r="K6" s="131" t="str">
        <f>MIX!$B$22</f>
        <v/>
      </c>
      <c r="L6" s="131" t="str">
        <f>IF($K6="","bye",VLOOKUP($K6,sez!$A$2:$D$259,2))</f>
        <v>bye</v>
      </c>
      <c r="M6" s="131" t="str">
        <f>IF($K6="","",VLOOKUP($K6,sez!$A$2:$D$259,4))</f>
        <v/>
      </c>
      <c r="N6" s="65" t="s">
        <v>89</v>
      </c>
      <c r="O6" s="66" t="s">
        <v>89</v>
      </c>
      <c r="P6" s="66" t="s">
        <v>89</v>
      </c>
      <c r="Q6" s="66"/>
      <c r="R6" s="67"/>
      <c r="S6" s="2">
        <f t="shared" si="4"/>
        <v>3</v>
      </c>
      <c r="T6" s="2">
        <f t="shared" si="5"/>
        <v>0</v>
      </c>
      <c r="U6" s="2">
        <f t="shared" si="0"/>
        <v>6</v>
      </c>
      <c r="V6" s="2" t="str">
        <f>IF($U6=0,"",VLOOKUP($U6,sez!$A$2:$D$259,2))</f>
        <v>Pařízek Richard</v>
      </c>
      <c r="W6" s="2">
        <f t="shared" si="1"/>
        <v>43</v>
      </c>
      <c r="X6" s="2" t="str">
        <f>IF($W6=0,"",VLOOKUP($W6,sez!$A$2:$D$259,2))</f>
        <v>Holubová Simona</v>
      </c>
      <c r="Y6" s="2" t="str">
        <f t="shared" si="6"/>
        <v>3:0 (0,0,0)</v>
      </c>
      <c r="Z6" s="2" t="str">
        <f t="shared" si="3"/>
        <v>3:0 (0,0,0)</v>
      </c>
      <c r="AB6" s="24">
        <f t="shared" si="7"/>
        <v>1</v>
      </c>
      <c r="AC6" s="24">
        <f t="shared" si="8"/>
        <v>1</v>
      </c>
      <c r="AD6" s="24">
        <f t="shared" si="9"/>
        <v>1</v>
      </c>
      <c r="AE6" s="24">
        <f t="shared" si="10"/>
        <v>0</v>
      </c>
      <c r="AF6" s="24">
        <f t="shared" si="11"/>
        <v>0</v>
      </c>
    </row>
    <row r="7" spans="1:32" x14ac:dyDescent="0.2">
      <c r="A7" s="131" t="str">
        <f>CONCATENATE("MIX ",úvod!$C$8," - 1.kolo")</f>
        <v>MIX U19 - 1.kolo</v>
      </c>
      <c r="B7" s="131">
        <f>MIX!$B$23</f>
        <v>0</v>
      </c>
      <c r="C7" s="131" t="str">
        <f>IF($B7=0,"bye",VLOOKUP($B7,sez!$A$2:$D$259,2))</f>
        <v>bye</v>
      </c>
      <c r="D7" s="131" t="str">
        <f>IF($B7=0,"",VLOOKUP($B7,sez!$A$2:$D$259,4))</f>
        <v/>
      </c>
      <c r="E7" s="131" t="str">
        <f>MIX!$B$24</f>
        <v/>
      </c>
      <c r="F7" s="131" t="str">
        <f>IF($E7="","bye",VLOOKUP($E7,sez!$A$2:$D$259,2))</f>
        <v>bye</v>
      </c>
      <c r="G7" s="131" t="str">
        <f>IF($E7="","",VLOOKUP($E7,sez!$A$2:$D$259,4))</f>
        <v/>
      </c>
      <c r="H7" s="131">
        <f>MIX!$B$25</f>
        <v>9</v>
      </c>
      <c r="I7" s="131" t="str">
        <f>IF($H7=0,"bye",VLOOKUP($H7,sez!$A$2:$D$259,2))</f>
        <v>Štěpánek Ondřej</v>
      </c>
      <c r="J7" s="131" t="str">
        <f>IF($H7=0,"",VLOOKUP($H7,sez!$A$2:$D$259,4))</f>
        <v>KST Blansko</v>
      </c>
      <c r="K7" s="131">
        <f>MIX!$B$26</f>
        <v>47</v>
      </c>
      <c r="L7" s="131" t="str">
        <f>IF($K7="","bye",VLOOKUP($K7,sez!$A$2:$D$259,2))</f>
        <v>Mazalová Kristýna</v>
      </c>
      <c r="M7" s="131" t="str">
        <f>IF($K7="","",VLOOKUP($K7,sez!$A$2:$D$259,4))</f>
        <v>KST Blansko</v>
      </c>
      <c r="N7" s="65" t="s">
        <v>84</v>
      </c>
      <c r="O7" s="66" t="s">
        <v>84</v>
      </c>
      <c r="P7" s="66" t="s">
        <v>84</v>
      </c>
      <c r="Q7" s="66"/>
      <c r="R7" s="67"/>
      <c r="S7" s="2">
        <f t="shared" si="4"/>
        <v>0</v>
      </c>
      <c r="T7" s="2">
        <f t="shared" si="5"/>
        <v>3</v>
      </c>
      <c r="U7" s="2">
        <f t="shared" si="0"/>
        <v>9</v>
      </c>
      <c r="V7" s="2" t="str">
        <f>IF($U7=0,"",VLOOKUP($U7,sez!$A$2:$D$259,2))</f>
        <v>Štěpánek Ondřej</v>
      </c>
      <c r="W7" s="2">
        <f t="shared" si="1"/>
        <v>47</v>
      </c>
      <c r="X7" s="2" t="str">
        <f>IF($W7=0,"",VLOOKUP($W7,sez!$A$2:$D$259,2))</f>
        <v>Mazalová Kristýna</v>
      </c>
      <c r="Y7" s="2" t="str">
        <f t="shared" si="6"/>
        <v>3:0 (0,0,0)</v>
      </c>
      <c r="Z7" s="2" t="str">
        <f t="shared" si="3"/>
        <v>3:0 (0,0,0)</v>
      </c>
      <c r="AB7" s="24">
        <f t="shared" si="7"/>
        <v>-1</v>
      </c>
      <c r="AC7" s="24">
        <f t="shared" si="8"/>
        <v>-1</v>
      </c>
      <c r="AD7" s="24">
        <f t="shared" si="9"/>
        <v>-1</v>
      </c>
      <c r="AE7" s="24">
        <f t="shared" si="10"/>
        <v>0</v>
      </c>
      <c r="AF7" s="24">
        <f t="shared" si="11"/>
        <v>0</v>
      </c>
    </row>
    <row r="8" spans="1:32" x14ac:dyDescent="0.2">
      <c r="A8" s="131" t="str">
        <f>CONCATENATE("MIX ",úvod!$C$8," - 1.kolo")</f>
        <v>MIX U19 - 1.kolo</v>
      </c>
      <c r="B8" s="131">
        <f>MIX!$B$27</f>
        <v>10</v>
      </c>
      <c r="C8" s="131" t="str">
        <f>IF($B8=0,"bye",VLOOKUP($B8,sez!$A$2:$D$259,2))</f>
        <v>Vincenec Oliver</v>
      </c>
      <c r="D8" s="131" t="str">
        <f>IF($B8=0,"",VLOOKUP($B8,sez!$A$2:$D$259,4))</f>
        <v>KST Vyškov</v>
      </c>
      <c r="E8" s="131">
        <f>MIX!$B$28</f>
        <v>48</v>
      </c>
      <c r="F8" s="131" t="str">
        <f>IF($E8="","bye",VLOOKUP($E8,sez!$A$2:$D$259,2))</f>
        <v>Kotásková Kristýna</v>
      </c>
      <c r="G8" s="131" t="str">
        <f>IF($E8="","",VLOOKUP($E8,sez!$A$2:$D$259,4))</f>
        <v>TJ Mikulčice</v>
      </c>
      <c r="H8" s="131">
        <f>MIX!$B$29</f>
        <v>23</v>
      </c>
      <c r="I8" s="131" t="str">
        <f>IF($H8=0,"bye",VLOOKUP($H8,sez!$A$2:$D$259,2))</f>
        <v>Pluháček Adam</v>
      </c>
      <c r="J8" s="131" t="str">
        <f>IF($H8=0,"",VLOOKUP($H8,sez!$A$2:$D$259,4))</f>
        <v>Sokol Brno I</v>
      </c>
      <c r="K8" s="131">
        <f>MIX!$B$30</f>
        <v>49</v>
      </c>
      <c r="L8" s="131" t="str">
        <f>IF($K8="","bye",VLOOKUP($K8,sez!$A$2:$D$259,2))</f>
        <v>Pilitowská Lea</v>
      </c>
      <c r="M8" s="131" t="str">
        <f>IF($K8="","",VLOOKUP($K8,sez!$A$2:$D$259,4))</f>
        <v>KST Blansko</v>
      </c>
      <c r="N8" s="65" t="s">
        <v>82</v>
      </c>
      <c r="O8" s="66" t="s">
        <v>83</v>
      </c>
      <c r="P8" s="66" t="s">
        <v>79</v>
      </c>
      <c r="Q8" s="66" t="s">
        <v>76</v>
      </c>
      <c r="R8" s="67" t="s">
        <v>93</v>
      </c>
      <c r="S8" s="2">
        <f t="shared" si="4"/>
        <v>2</v>
      </c>
      <c r="T8" s="2">
        <f t="shared" si="5"/>
        <v>3</v>
      </c>
      <c r="U8" s="2">
        <f t="shared" si="0"/>
        <v>23</v>
      </c>
      <c r="V8" s="2" t="str">
        <f>IF($U8=0,"",VLOOKUP($U8,sez!$A$2:$D$259,2))</f>
        <v>Pluháček Adam</v>
      </c>
      <c r="W8" s="2">
        <f t="shared" si="1"/>
        <v>49</v>
      </c>
      <c r="X8" s="2" t="str">
        <f>IF($W8=0,"",VLOOKUP($W8,sez!$A$2:$D$259,2))</f>
        <v>Pilitowská Lea</v>
      </c>
      <c r="Y8" s="2" t="str">
        <f t="shared" si="6"/>
        <v>3:2 (-8,-6,7,10,12)</v>
      </c>
      <c r="Z8" s="2" t="str">
        <f t="shared" si="3"/>
        <v>3:2 (-8,-6,7,10,12)</v>
      </c>
      <c r="AB8" s="24">
        <f t="shared" si="7"/>
        <v>1</v>
      </c>
      <c r="AC8" s="24">
        <f t="shared" si="8"/>
        <v>1</v>
      </c>
      <c r="AD8" s="24">
        <f t="shared" si="9"/>
        <v>-1</v>
      </c>
      <c r="AE8" s="24">
        <f t="shared" si="10"/>
        <v>-1</v>
      </c>
      <c r="AF8" s="24">
        <f t="shared" si="11"/>
        <v>-1</v>
      </c>
    </row>
    <row r="9" spans="1:32" ht="13.5" thickBot="1" x14ac:dyDescent="0.25">
      <c r="A9" s="131" t="str">
        <f>CONCATENATE("MIX ",úvod!$C$8," - 1.kolo")</f>
        <v>MIX U19 - 1.kolo</v>
      </c>
      <c r="B9" s="131">
        <f>MIX!$B$31</f>
        <v>0</v>
      </c>
      <c r="C9" s="131" t="str">
        <f>IF($B9=0,"bye",VLOOKUP($B9,sez!$A$2:$D$259,2))</f>
        <v>bye</v>
      </c>
      <c r="D9" s="131" t="str">
        <f>IF($B9=0,"",VLOOKUP($B9,sez!$A$2:$D$259,4))</f>
        <v/>
      </c>
      <c r="E9" s="131" t="str">
        <f>MIX!$B$32</f>
        <v/>
      </c>
      <c r="F9" s="131" t="str">
        <f>IF($E9="","bye",VLOOKUP($E9,sez!$A$2:$D$259,2))</f>
        <v>bye</v>
      </c>
      <c r="G9" s="131" t="str">
        <f>IF($E9="","",VLOOKUP($E9,sez!$A$2:$D$259,4))</f>
        <v/>
      </c>
      <c r="H9" s="131">
        <f>MIX!$B$33</f>
        <v>3</v>
      </c>
      <c r="I9" s="131" t="str">
        <f>IF($H9=0,"bye",VLOOKUP($H9,sez!$A$2:$D$259,2))</f>
        <v>Krištof Lukáš</v>
      </c>
      <c r="J9" s="131" t="str">
        <f>IF($H9=0,"",VLOOKUP($H9,sez!$A$2:$D$259,4))</f>
        <v>Tišnov</v>
      </c>
      <c r="K9" s="131">
        <f>MIX!$B$34</f>
        <v>45</v>
      </c>
      <c r="L9" s="131" t="str">
        <f>IF($K9="","bye",VLOOKUP($K9,sez!$A$2:$D$259,2))</f>
        <v>Dreits Anastasiia</v>
      </c>
      <c r="M9" s="131" t="str">
        <f>IF($K9="","",VLOOKUP($K9,sez!$A$2:$D$259,4))</f>
        <v>Tišnov</v>
      </c>
      <c r="N9" s="68" t="s">
        <v>84</v>
      </c>
      <c r="O9" s="69" t="s">
        <v>84</v>
      </c>
      <c r="P9" s="69" t="s">
        <v>84</v>
      </c>
      <c r="Q9" s="69"/>
      <c r="R9" s="70"/>
      <c r="S9" s="2">
        <f t="shared" si="4"/>
        <v>0</v>
      </c>
      <c r="T9" s="2">
        <f t="shared" si="5"/>
        <v>3</v>
      </c>
      <c r="U9" s="2">
        <f t="shared" si="0"/>
        <v>3</v>
      </c>
      <c r="V9" s="2" t="str">
        <f>IF($U9=0,"",VLOOKUP($U9,sez!$A$2:$D$259,2))</f>
        <v>Krištof Lukáš</v>
      </c>
      <c r="W9" s="2">
        <f t="shared" si="1"/>
        <v>45</v>
      </c>
      <c r="X9" s="2" t="str">
        <f>IF($W9=0,"",VLOOKUP($W9,sez!$A$2:$D$259,2))</f>
        <v>Dreits Anastasiia</v>
      </c>
      <c r="Y9" s="2" t="str">
        <f t="shared" si="6"/>
        <v>3:0 (0,0,0)</v>
      </c>
      <c r="Z9" s="2" t="str">
        <f t="shared" si="3"/>
        <v>3:0 (0,0,0)</v>
      </c>
      <c r="AB9" s="24">
        <f t="shared" si="7"/>
        <v>-1</v>
      </c>
      <c r="AC9" s="24">
        <f t="shared" si="8"/>
        <v>-1</v>
      </c>
      <c r="AD9" s="24">
        <f t="shared" si="9"/>
        <v>-1</v>
      </c>
      <c r="AE9" s="24">
        <f t="shared" si="10"/>
        <v>0</v>
      </c>
      <c r="AF9" s="24">
        <f t="shared" si="11"/>
        <v>0</v>
      </c>
    </row>
    <row r="10" spans="1:32" ht="14.25" thickTop="1" thickBot="1" x14ac:dyDescent="0.25">
      <c r="N10" s="19"/>
      <c r="O10" s="19"/>
      <c r="P10" s="19"/>
      <c r="Q10" s="19"/>
      <c r="R10" s="19"/>
    </row>
    <row r="11" spans="1:32" ht="13.5" thickTop="1" x14ac:dyDescent="0.2">
      <c r="A11" s="2" t="str">
        <f>CONCATENATE("MIX ",úvod!$C$8," - 2.kolo")</f>
        <v>MIX U19 - 2.kolo</v>
      </c>
      <c r="B11" s="2">
        <f>U2</f>
        <v>4</v>
      </c>
      <c r="C11" s="102" t="str">
        <f>IF($B11=0,"",VLOOKUP($B11,sez!$A$2:$D$259,2))</f>
        <v>Luska Petr</v>
      </c>
      <c r="D11" s="102" t="str">
        <f>IF($B11=0,"",VLOOKUP($B11,sez!$A$2:$D$259,4))</f>
        <v>KST Vyškov</v>
      </c>
      <c r="E11" s="102">
        <f>W2</f>
        <v>41</v>
      </c>
      <c r="F11" s="102" t="str">
        <f>IF($E11=0,"",VLOOKUP($E11,sez!$A$2:$D$259,2))</f>
        <v>Sobotíková Monika</v>
      </c>
      <c r="G11" s="102" t="str">
        <f>IF($E11=0,"",VLOOKUP($E11,sez!$A$2:$D$259,4))</f>
        <v>MS Brno</v>
      </c>
      <c r="H11" s="102">
        <f>U3</f>
        <v>8</v>
      </c>
      <c r="I11" s="102" t="str">
        <f>IF($H11=0,"",VLOOKUP($H11,sez!$A$2:$D$259,2))</f>
        <v>Pokorný Martin</v>
      </c>
      <c r="J11" s="102" t="str">
        <f>IF($H11=0,"",VLOOKUP($H11,sez!$A$2:$D$259,4))</f>
        <v>KST Blansko</v>
      </c>
      <c r="K11" s="102">
        <f>W3</f>
        <v>52</v>
      </c>
      <c r="L11" s="102" t="str">
        <f>IF($K11=0,"",VLOOKUP($K11,sez!$A$2:$D$259,2))</f>
        <v>Habáňová Michaela</v>
      </c>
      <c r="M11" s="2" t="str">
        <f>IF($K11=0,"",VLOOKUP($K11,sez!$A$2:$D$259,4))</f>
        <v>KST Blansko</v>
      </c>
      <c r="N11" s="62" t="s">
        <v>86</v>
      </c>
      <c r="O11" s="63" t="s">
        <v>70</v>
      </c>
      <c r="P11" s="63" t="s">
        <v>78</v>
      </c>
      <c r="Q11" s="63" t="s">
        <v>81</v>
      </c>
      <c r="R11" s="64" t="s">
        <v>79</v>
      </c>
      <c r="S11" s="2">
        <f>COUNTIF(AB11:AF11,"&gt;0")</f>
        <v>2</v>
      </c>
      <c r="T11" s="2">
        <f>COUNTIF(AB11:AF11,"&lt;0")</f>
        <v>3</v>
      </c>
      <c r="U11" s="2">
        <f>IF(S11=T11,0,IF(S11&gt;T11,B11,H11))</f>
        <v>8</v>
      </c>
      <c r="V11" s="2" t="str">
        <f>IF($U11=0,"",VLOOKUP($U11,sez!$A$2:$D$259,2))</f>
        <v>Pokorný Martin</v>
      </c>
      <c r="W11" s="2">
        <f>IF(S11=T11,0,IF(S11&gt;T11,E11,K11))</f>
        <v>52</v>
      </c>
      <c r="X11" s="2" t="str">
        <f>IF($W11=0,"",VLOOKUP($W11,sez!$A$2:$D$259,2))</f>
        <v>Habáňová Michaela</v>
      </c>
      <c r="Y11" s="2" t="str">
        <f>IF(S11=T11,"",IF(S11&gt;T11,CONCATENATE(S11,":",T11," (",N11,",",O11,",",P11,IF(SUM(S11:T11)&gt;3,",",""),Q11,IF(SUM(S11:T11)&gt;4,",",""),R11,")"),CONCATENATE(T11,":",S11," (",-N11,",",-O11,",",-P11,IF(SUM(S11:T11)&gt;3,",",""),IF(SUM(S11:T11)&gt;3,-Q11,""),IF(SUM(S11:T11)&gt;4,",",""),IF(SUM(S11:T11)&gt;4,-R11,""),")")))</f>
        <v>3:2 (-4,-5,3,6,7)</v>
      </c>
      <c r="Z11" s="2" t="str">
        <f>IF(MAX(S11:T11)=3,Y11,"")</f>
        <v>3:2 (-4,-5,3,6,7)</v>
      </c>
      <c r="AB11" s="24">
        <f t="shared" ref="AB11:AF14" si="12">IF(N11="",0,IF(MID(N11,1,1)="-",-1,1))</f>
        <v>1</v>
      </c>
      <c r="AC11" s="24">
        <f t="shared" si="12"/>
        <v>1</v>
      </c>
      <c r="AD11" s="24">
        <f t="shared" si="12"/>
        <v>-1</v>
      </c>
      <c r="AE11" s="24">
        <f t="shared" si="12"/>
        <v>-1</v>
      </c>
      <c r="AF11" s="24">
        <f t="shared" si="12"/>
        <v>-1</v>
      </c>
    </row>
    <row r="12" spans="1:32" x14ac:dyDescent="0.2">
      <c r="A12" s="2" t="str">
        <f>CONCATENATE("MIX ",úvod!$C$8," - 2.kolo")</f>
        <v>MIX U19 - 2.kolo</v>
      </c>
      <c r="B12" s="2">
        <f>U4</f>
        <v>11</v>
      </c>
      <c r="C12" s="102" t="str">
        <f>IF($B12=0,"",VLOOKUP($B12,sez!$A$2:$D$259,2))</f>
        <v>Krejčí David</v>
      </c>
      <c r="D12" s="102" t="str">
        <f>IF($B12=0,"",VLOOKUP($B12,sez!$A$2:$D$259,4))</f>
        <v>MS Brno</v>
      </c>
      <c r="E12" s="102">
        <f>W4</f>
        <v>44</v>
      </c>
      <c r="F12" s="102" t="str">
        <f>IF($E12=0,"",VLOOKUP($E12,sez!$A$2:$D$259,2))</f>
        <v>Novotná Eliška</v>
      </c>
      <c r="G12" s="102" t="str">
        <f>IF($E12=0,"",VLOOKUP($E12,sez!$A$2:$D$259,4))</f>
        <v>SKST Hodonín</v>
      </c>
      <c r="H12" s="102">
        <f>U5</f>
        <v>5</v>
      </c>
      <c r="I12" s="102" t="str">
        <f>IF($H12=0,"",VLOOKUP($H12,sez!$A$2:$D$259,2))</f>
        <v>Drápal Metoděj</v>
      </c>
      <c r="J12" s="102" t="str">
        <f>IF($H12=0,"",VLOOKUP($H12,sez!$A$2:$D$259,4))</f>
        <v>MS Brno</v>
      </c>
      <c r="K12" s="102">
        <f>W5</f>
        <v>42</v>
      </c>
      <c r="L12" s="102" t="str">
        <f>IF($K12=0,"",VLOOKUP($K12,sez!$A$2:$D$259,2))</f>
        <v>Novohradská Karolína</v>
      </c>
      <c r="M12" s="2" t="str">
        <f>IF($K12=0,"",VLOOKUP($K12,sez!$A$2:$D$259,4))</f>
        <v>KST Blansko</v>
      </c>
      <c r="N12" s="65" t="s">
        <v>76</v>
      </c>
      <c r="O12" s="66" t="s">
        <v>73</v>
      </c>
      <c r="P12" s="66" t="s">
        <v>81</v>
      </c>
      <c r="Q12" s="66"/>
      <c r="R12" s="67"/>
      <c r="S12" s="2">
        <f>COUNTIF(AB12:AF12,"&gt;0")</f>
        <v>0</v>
      </c>
      <c r="T12" s="2">
        <f>COUNTIF(AB12:AF12,"&lt;0")</f>
        <v>3</v>
      </c>
      <c r="U12" s="2">
        <f>IF(S12=T12,0,IF(S12&gt;T12,B12,H12))</f>
        <v>5</v>
      </c>
      <c r="V12" s="2" t="str">
        <f>IF($U12=0,"",VLOOKUP($U12,sez!$A$2:$D$259,2))</f>
        <v>Drápal Metoděj</v>
      </c>
      <c r="W12" s="2">
        <f>IF(S12=T12,0,IF(S12&gt;T12,E12,K12))</f>
        <v>42</v>
      </c>
      <c r="X12" s="2" t="str">
        <f>IF($W12=0,"",VLOOKUP($W12,sez!$A$2:$D$259,2))</f>
        <v>Novohradská Karolína</v>
      </c>
      <c r="Y12" s="2" t="str">
        <f>IF(S12=T12,"",IF(S12&gt;T12,CONCATENATE(S12,":",T12," (",N12,",",O12,",",P12,IF(SUM(S12:T12)&gt;3,",",""),Q12,IF(SUM(S12:T12)&gt;4,",",""),R12,")"),CONCATENATE(T12,":",S12," (",-N12,",",-O12,",",-P12,IF(SUM(S12:T12)&gt;3,",",""),IF(SUM(S12:T12)&gt;3,-Q12,""),IF(SUM(S12:T12)&gt;4,",",""),IF(SUM(S12:T12)&gt;4,-R12,""),")")))</f>
        <v>3:0 (10,4,6)</v>
      </c>
      <c r="Z12" s="2" t="str">
        <f>IF(MAX(S12:T12)=3,Y12,"")</f>
        <v>3:0 (10,4,6)</v>
      </c>
      <c r="AB12" s="24">
        <f t="shared" si="12"/>
        <v>-1</v>
      </c>
      <c r="AC12" s="24">
        <f t="shared" si="12"/>
        <v>-1</v>
      </c>
      <c r="AD12" s="24">
        <f t="shared" si="12"/>
        <v>-1</v>
      </c>
      <c r="AE12" s="24">
        <f t="shared" si="12"/>
        <v>0</v>
      </c>
      <c r="AF12" s="24">
        <f t="shared" si="12"/>
        <v>0</v>
      </c>
    </row>
    <row r="13" spans="1:32" x14ac:dyDescent="0.2">
      <c r="A13" s="2" t="str">
        <f>CONCATENATE("MIX ",úvod!$C$8," - 2.kolo")</f>
        <v>MIX U19 - 2.kolo</v>
      </c>
      <c r="B13" s="2">
        <f>U6</f>
        <v>6</v>
      </c>
      <c r="C13" s="102" t="str">
        <f>IF($B13=0,"",VLOOKUP($B13,sez!$A$2:$D$259,2))</f>
        <v>Pařízek Richard</v>
      </c>
      <c r="D13" s="102" t="str">
        <f>IF($B13=0,"",VLOOKUP($B13,sez!$A$2:$D$259,4))</f>
        <v>SKST Hodonín</v>
      </c>
      <c r="E13" s="102">
        <f>W6</f>
        <v>43</v>
      </c>
      <c r="F13" s="102" t="str">
        <f>IF($E13=0,"",VLOOKUP($E13,sez!$A$2:$D$259,2))</f>
        <v>Holubová Simona</v>
      </c>
      <c r="G13" s="102" t="str">
        <f>IF($E13=0,"",VLOOKUP($E13,sez!$A$2:$D$259,4))</f>
        <v>SKST Hodonín</v>
      </c>
      <c r="H13" s="102">
        <f>U7</f>
        <v>9</v>
      </c>
      <c r="I13" s="102" t="str">
        <f>IF($H13=0,"",VLOOKUP($H13,sez!$A$2:$D$259,2))</f>
        <v>Štěpánek Ondřej</v>
      </c>
      <c r="J13" s="102" t="str">
        <f>IF($H13=0,"",VLOOKUP($H13,sez!$A$2:$D$259,4))</f>
        <v>KST Blansko</v>
      </c>
      <c r="K13" s="102">
        <f>W7</f>
        <v>47</v>
      </c>
      <c r="L13" s="102" t="str">
        <f>IF($K13=0,"",VLOOKUP($K13,sez!$A$2:$D$259,2))</f>
        <v>Mazalová Kristýna</v>
      </c>
      <c r="M13" s="2" t="str">
        <f>IF($K13=0,"",VLOOKUP($K13,sez!$A$2:$D$259,4))</f>
        <v>KST Blansko</v>
      </c>
      <c r="N13" s="65" t="s">
        <v>90</v>
      </c>
      <c r="O13" s="66" t="s">
        <v>79</v>
      </c>
      <c r="P13" s="66" t="s">
        <v>70</v>
      </c>
      <c r="Q13" s="66" t="s">
        <v>82</v>
      </c>
      <c r="R13" s="67"/>
      <c r="S13" s="2">
        <f>COUNTIF(AB13:AF13,"&gt;0")</f>
        <v>3</v>
      </c>
      <c r="T13" s="2">
        <f>COUNTIF(AB13:AF13,"&lt;0")</f>
        <v>1</v>
      </c>
      <c r="U13" s="2">
        <f>IF(S13=T13,0,IF(S13&gt;T13,B13,H13))</f>
        <v>6</v>
      </c>
      <c r="V13" s="2" t="str">
        <f>IF($U13=0,"",VLOOKUP($U13,sez!$A$2:$D$259,2))</f>
        <v>Pařízek Richard</v>
      </c>
      <c r="W13" s="2">
        <f>IF(S13=T13,0,IF(S13&gt;T13,E13,K13))</f>
        <v>43</v>
      </c>
      <c r="X13" s="2" t="str">
        <f>IF($W13=0,"",VLOOKUP($W13,sez!$A$2:$D$259,2))</f>
        <v>Holubová Simona</v>
      </c>
      <c r="Y13" s="2" t="str">
        <f>IF(S13=T13,"",IF(S13&gt;T13,CONCATENATE(S13,":",T13," (",N13,",",O13,",",P13,IF(SUM(S13:T13)&gt;3,",",""),Q13,IF(SUM(S13:T13)&gt;4,",",""),R13,")"),CONCATENATE(T13,":",S13," (",-N13,",",-O13,",",-P13,IF(SUM(S13:T13)&gt;3,",",""),IF(SUM(S13:T13)&gt;3,-Q13,""),IF(SUM(S13:T13)&gt;4,",",""),IF(SUM(S13:T13)&gt;4,-R13,""),")")))</f>
        <v>3:1 (10,-7,5,8)</v>
      </c>
      <c r="Z13" s="2" t="str">
        <f>IF(MAX(S13:T13)=3,Y13,"")</f>
        <v>3:1 (10,-7,5,8)</v>
      </c>
      <c r="AB13" s="24">
        <f t="shared" si="12"/>
        <v>1</v>
      </c>
      <c r="AC13" s="24">
        <f t="shared" si="12"/>
        <v>-1</v>
      </c>
      <c r="AD13" s="24">
        <f t="shared" si="12"/>
        <v>1</v>
      </c>
      <c r="AE13" s="24">
        <f t="shared" si="12"/>
        <v>1</v>
      </c>
      <c r="AF13" s="24">
        <f t="shared" si="12"/>
        <v>0</v>
      </c>
    </row>
    <row r="14" spans="1:32" ht="13.5" thickBot="1" x14ac:dyDescent="0.25">
      <c r="A14" s="2" t="str">
        <f>CONCATENATE("MIX ",úvod!$C$8," - 2.kolo")</f>
        <v>MIX U19 - 2.kolo</v>
      </c>
      <c r="B14" s="2">
        <f>U8</f>
        <v>23</v>
      </c>
      <c r="C14" s="102" t="str">
        <f>IF($B14=0,"",VLOOKUP($B14,sez!$A$2:$D$259,2))</f>
        <v>Pluháček Adam</v>
      </c>
      <c r="D14" s="102" t="str">
        <f>IF($B14=0,"",VLOOKUP($B14,sez!$A$2:$D$259,4))</f>
        <v>Sokol Brno I</v>
      </c>
      <c r="E14" s="102">
        <f>W8</f>
        <v>49</v>
      </c>
      <c r="F14" s="102" t="str">
        <f>IF($E14=0,"",VLOOKUP($E14,sez!$A$2:$D$259,2))</f>
        <v>Pilitowská Lea</v>
      </c>
      <c r="G14" s="102" t="str">
        <f>IF($E14=0,"",VLOOKUP($E14,sez!$A$2:$D$259,4))</f>
        <v>KST Blansko</v>
      </c>
      <c r="H14" s="102">
        <f>U9</f>
        <v>3</v>
      </c>
      <c r="I14" s="102" t="str">
        <f>IF($H14=0,"",VLOOKUP($H14,sez!$A$2:$D$259,2))</f>
        <v>Krištof Lukáš</v>
      </c>
      <c r="J14" s="102" t="str">
        <f>IF($H14=0,"",VLOOKUP($H14,sez!$A$2:$D$259,4))</f>
        <v>Tišnov</v>
      </c>
      <c r="K14" s="102">
        <f>W9</f>
        <v>45</v>
      </c>
      <c r="L14" s="102" t="str">
        <f>IF($K14=0,"",VLOOKUP($K14,sez!$A$2:$D$259,2))</f>
        <v>Dreits Anastasiia</v>
      </c>
      <c r="M14" s="2" t="str">
        <f>IF($K14=0,"",VLOOKUP($K14,sez!$A$2:$D$259,4))</f>
        <v>Tišnov</v>
      </c>
      <c r="N14" s="68" t="s">
        <v>81</v>
      </c>
      <c r="O14" s="69" t="s">
        <v>71</v>
      </c>
      <c r="P14" s="69" t="s">
        <v>73</v>
      </c>
      <c r="Q14" s="69" t="s">
        <v>81</v>
      </c>
      <c r="R14" s="70"/>
      <c r="S14" s="2">
        <f>COUNTIF(AB14:AF14,"&gt;0")</f>
        <v>1</v>
      </c>
      <c r="T14" s="2">
        <f>COUNTIF(AB14:AF14,"&lt;0")</f>
        <v>3</v>
      </c>
      <c r="U14" s="2">
        <f>IF(S14=T14,0,IF(S14&gt;T14,B14,H14))</f>
        <v>3</v>
      </c>
      <c r="V14" s="2" t="str">
        <f>IF($U14=0,"",VLOOKUP($U14,sez!$A$2:$D$259,2))</f>
        <v>Krištof Lukáš</v>
      </c>
      <c r="W14" s="2">
        <f>IF(S14=T14,0,IF(S14&gt;T14,E14,K14))</f>
        <v>45</v>
      </c>
      <c r="X14" s="2" t="str">
        <f>IF($W14=0,"",VLOOKUP($W14,sez!$A$2:$D$259,2))</f>
        <v>Dreits Anastasiia</v>
      </c>
      <c r="Y14" s="2" t="str">
        <f>IF(S14=T14,"",IF(S14&gt;T14,CONCATENATE(S14,":",T14," (",N14,",",O14,",",P14,IF(SUM(S14:T14)&gt;3,",",""),Q14,IF(SUM(S14:T14)&gt;4,",",""),R14,")"),CONCATENATE(T14,":",S14," (",-N14,",",-O14,",",-P14,IF(SUM(S14:T14)&gt;3,",",""),IF(SUM(S14:T14)&gt;3,-Q14,""),IF(SUM(S14:T14)&gt;4,",",""),IF(SUM(S14:T14)&gt;4,-R14,""),")")))</f>
        <v>3:1 (6,-9,4,6)</v>
      </c>
      <c r="Z14" s="2" t="str">
        <f>IF(MAX(S14:T14)=3,Y14,"")</f>
        <v>3:1 (6,-9,4,6)</v>
      </c>
      <c r="AB14" s="24">
        <f t="shared" si="12"/>
        <v>-1</v>
      </c>
      <c r="AC14" s="24">
        <f t="shared" si="12"/>
        <v>1</v>
      </c>
      <c r="AD14" s="24">
        <f t="shared" si="12"/>
        <v>-1</v>
      </c>
      <c r="AE14" s="24">
        <f t="shared" si="12"/>
        <v>-1</v>
      </c>
      <c r="AF14" s="24">
        <f t="shared" si="12"/>
        <v>0</v>
      </c>
    </row>
    <row r="15" spans="1:32" ht="14.25" thickTop="1" thickBot="1" x14ac:dyDescent="0.25">
      <c r="N15" s="19"/>
      <c r="O15" s="19"/>
      <c r="P15" s="19"/>
      <c r="Q15" s="19"/>
      <c r="R15" s="19"/>
    </row>
    <row r="16" spans="1:32" ht="13.5" thickTop="1" x14ac:dyDescent="0.2">
      <c r="A16" s="2" t="str">
        <f>CONCATENATE("MIX ",úvod!$C$8," - semifinále")</f>
        <v>MIX U19 - semifinále</v>
      </c>
      <c r="B16" s="2">
        <f>U11</f>
        <v>8</v>
      </c>
      <c r="C16" s="102" t="str">
        <f>IF($B16=0,"",VLOOKUP($B16,sez!$A$2:$D$259,2))</f>
        <v>Pokorný Martin</v>
      </c>
      <c r="D16" s="102" t="str">
        <f>IF($B16=0,"",VLOOKUP($B16,sez!$A$2:$D$259,4))</f>
        <v>KST Blansko</v>
      </c>
      <c r="E16" s="102">
        <f>W11</f>
        <v>52</v>
      </c>
      <c r="F16" s="102" t="str">
        <f>IF($E16=0,"",VLOOKUP($E16,sez!$A$2:$D$259,2))</f>
        <v>Habáňová Michaela</v>
      </c>
      <c r="G16" s="102" t="str">
        <f>IF($E16=0,"",VLOOKUP($E16,sez!$A$2:$D$259,4))</f>
        <v>KST Blansko</v>
      </c>
      <c r="H16" s="102">
        <f>U12</f>
        <v>5</v>
      </c>
      <c r="I16" s="102" t="str">
        <f>IF($H16=0,"",VLOOKUP($H16,sez!$A$2:$D$259,2))</f>
        <v>Drápal Metoděj</v>
      </c>
      <c r="J16" s="102" t="str">
        <f>IF($H16=0,"",VLOOKUP($H16,sez!$A$2:$D$259,4))</f>
        <v>MS Brno</v>
      </c>
      <c r="K16" s="102">
        <f>W12</f>
        <v>42</v>
      </c>
      <c r="L16" s="102" t="str">
        <f>IF($K16=0,"",VLOOKUP($K16,sez!$A$2:$D$259,2))</f>
        <v>Novohradská Karolína</v>
      </c>
      <c r="M16" s="2" t="str">
        <f>IF($K16=0,"",VLOOKUP($K16,sez!$A$2:$D$259,4))</f>
        <v>KST Blansko</v>
      </c>
      <c r="N16" s="62" t="s">
        <v>92</v>
      </c>
      <c r="O16" s="63" t="s">
        <v>81</v>
      </c>
      <c r="P16" s="63" t="s">
        <v>79</v>
      </c>
      <c r="Q16" s="63"/>
      <c r="R16" s="64"/>
      <c r="S16" s="2">
        <f>COUNTIF(AB16:AF16,"&gt;0")</f>
        <v>0</v>
      </c>
      <c r="T16" s="2">
        <f>COUNTIF(AB16:AF16,"&lt;0")</f>
        <v>3</v>
      </c>
      <c r="U16" s="2">
        <f>IF(S16=T16,0,IF(S16&gt;T16,B16,H16))</f>
        <v>5</v>
      </c>
      <c r="V16" s="2" t="str">
        <f>IF($U16=0,"",VLOOKUP($U16,sez!$A$2:$D$259,2))</f>
        <v>Drápal Metoděj</v>
      </c>
      <c r="W16" s="2">
        <f>IF(S16=T16,0,IF(S16&gt;T16,E16,K16))</f>
        <v>42</v>
      </c>
      <c r="X16" s="2" t="str">
        <f>IF($W16=0,"",VLOOKUP($W16,sez!$A$2:$D$259,2))</f>
        <v>Novohradská Karolína</v>
      </c>
      <c r="Y16" s="2" t="str">
        <f>IF(S16=T16,"",IF(S16&gt;T16,CONCATENATE(S16,":",T16," (",N16,",",O16,",",P16,IF(SUM(S16:T16)&gt;3,",",""),Q16,IF(SUM(S16:T16)&gt;4,",",""),R16,")"),CONCATENATE(T16,":",S16," (",-N16,",",-O16,",",-P16,IF(SUM(S16:T16)&gt;3,",",""),IF(SUM(S16:T16)&gt;3,-Q16,""),IF(SUM(S16:T16)&gt;4,",",""),IF(SUM(S16:T16)&gt;4,-R16,""),")")))</f>
        <v>3:0 (1,6,7)</v>
      </c>
      <c r="Z16" s="2" t="str">
        <f>IF(MAX(S16:T16)=3,Y16,"")</f>
        <v>3:0 (1,6,7)</v>
      </c>
      <c r="AB16" s="24">
        <f t="shared" ref="AB16:AF17" si="13">IF(N16="",0,IF(MID(N16,1,1)="-",-1,1))</f>
        <v>-1</v>
      </c>
      <c r="AC16" s="24">
        <f t="shared" si="13"/>
        <v>-1</v>
      </c>
      <c r="AD16" s="24">
        <f t="shared" si="13"/>
        <v>-1</v>
      </c>
      <c r="AE16" s="24">
        <f t="shared" si="13"/>
        <v>0</v>
      </c>
      <c r="AF16" s="24">
        <f t="shared" si="13"/>
        <v>0</v>
      </c>
    </row>
    <row r="17" spans="1:32" ht="13.5" thickBot="1" x14ac:dyDescent="0.25">
      <c r="A17" s="2" t="str">
        <f>CONCATENATE("MIX ",úvod!$C$8," - semifinále")</f>
        <v>MIX U19 - semifinále</v>
      </c>
      <c r="B17" s="2">
        <f>U13</f>
        <v>6</v>
      </c>
      <c r="C17" s="102" t="str">
        <f>IF($B17=0,"",VLOOKUP($B17,sez!$A$2:$D$259,2))</f>
        <v>Pařízek Richard</v>
      </c>
      <c r="D17" s="102" t="str">
        <f>IF($B17=0,"",VLOOKUP($B17,sez!$A$2:$D$259,4))</f>
        <v>SKST Hodonín</v>
      </c>
      <c r="E17" s="102">
        <f>W13</f>
        <v>43</v>
      </c>
      <c r="F17" s="102" t="str">
        <f>IF($E17=0,"",VLOOKUP($E17,sez!$A$2:$D$259,2))</f>
        <v>Holubová Simona</v>
      </c>
      <c r="G17" s="102" t="str">
        <f>IF($E17=0,"",VLOOKUP($E17,sez!$A$2:$D$259,4))</f>
        <v>SKST Hodonín</v>
      </c>
      <c r="H17" s="102">
        <f>U14</f>
        <v>3</v>
      </c>
      <c r="I17" s="102" t="str">
        <f>IF($H17=0,"",VLOOKUP($H17,sez!$A$2:$D$259,2))</f>
        <v>Krištof Lukáš</v>
      </c>
      <c r="J17" s="102" t="str">
        <f>IF($H17=0,"",VLOOKUP($H17,sez!$A$2:$D$259,4))</f>
        <v>Tišnov</v>
      </c>
      <c r="K17" s="102">
        <f>W14</f>
        <v>45</v>
      </c>
      <c r="L17" s="102" t="str">
        <f>IF($K17=0,"",VLOOKUP($K17,sez!$A$2:$D$259,2))</f>
        <v>Dreits Anastasiia</v>
      </c>
      <c r="M17" s="2" t="str">
        <f>IF($K17=0,"",VLOOKUP($K17,sez!$A$2:$D$259,4))</f>
        <v>Tišnov</v>
      </c>
      <c r="N17" s="68" t="s">
        <v>76</v>
      </c>
      <c r="O17" s="69" t="s">
        <v>76</v>
      </c>
      <c r="P17" s="69" t="s">
        <v>79</v>
      </c>
      <c r="Q17" s="69"/>
      <c r="R17" s="70"/>
      <c r="S17" s="2">
        <f>COUNTIF(AB17:AF17,"&gt;0")</f>
        <v>0</v>
      </c>
      <c r="T17" s="2">
        <f>COUNTIF(AB17:AF17,"&lt;0")</f>
        <v>3</v>
      </c>
      <c r="U17" s="2">
        <f>IF(S17=T17,0,IF(S17&gt;T17,B17,H17))</f>
        <v>3</v>
      </c>
      <c r="V17" s="2" t="str">
        <f>IF($U17=0,"",VLOOKUP($U17,sez!$A$2:$D$259,2))</f>
        <v>Krištof Lukáš</v>
      </c>
      <c r="W17" s="2">
        <f>IF(S17=T17,0,IF(S17&gt;T17,E17,K17))</f>
        <v>45</v>
      </c>
      <c r="X17" s="2" t="str">
        <f>IF($W17=0,"",VLOOKUP($W17,sez!$A$2:$D$259,2))</f>
        <v>Dreits Anastasiia</v>
      </c>
      <c r="Y17" s="2" t="str">
        <f>IF(S17=T17,"",IF(S17&gt;T17,CONCATENATE(S17,":",T17," (",N17,",",O17,",",P17,IF(SUM(S17:T17)&gt;3,",",""),Q17,IF(SUM(S17:T17)&gt;4,",",""),R17,")"),CONCATENATE(T17,":",S17," (",-N17,",",-O17,",",-P17,IF(SUM(S17:T17)&gt;3,",",""),IF(SUM(S17:T17)&gt;3,-Q17,""),IF(SUM(S17:T17)&gt;4,",",""),IF(SUM(S17:T17)&gt;4,-R17,""),")")))</f>
        <v>3:0 (10,10,7)</v>
      </c>
      <c r="Z17" s="2" t="str">
        <f>IF(MAX(S17:T17)=3,Y17,"")</f>
        <v>3:0 (10,10,7)</v>
      </c>
      <c r="AB17" s="24">
        <f t="shared" si="13"/>
        <v>-1</v>
      </c>
      <c r="AC17" s="24">
        <f t="shared" si="13"/>
        <v>-1</v>
      </c>
      <c r="AD17" s="24">
        <f t="shared" si="13"/>
        <v>-1</v>
      </c>
      <c r="AE17" s="24">
        <f t="shared" si="13"/>
        <v>0</v>
      </c>
      <c r="AF17" s="24">
        <f t="shared" si="13"/>
        <v>0</v>
      </c>
    </row>
    <row r="18" spans="1:32" ht="14.25" thickTop="1" thickBot="1" x14ac:dyDescent="0.25"/>
    <row r="19" spans="1:32" ht="14.25" thickTop="1" thickBot="1" x14ac:dyDescent="0.25">
      <c r="A19" s="2" t="str">
        <f>CONCATENATE("MIX ",úvod!$C$8," - finále")</f>
        <v>MIX U19 - finále</v>
      </c>
      <c r="B19" s="2">
        <f>U16</f>
        <v>5</v>
      </c>
      <c r="C19" s="102" t="str">
        <f>IF($B19=0,"",VLOOKUP($B19,sez!$A$2:$D$259,2))</f>
        <v>Drápal Metoděj</v>
      </c>
      <c r="D19" s="102" t="str">
        <f>IF($B19=0,"",VLOOKUP($B19,sez!$A$2:$D$259,4))</f>
        <v>MS Brno</v>
      </c>
      <c r="E19" s="102">
        <f>W16</f>
        <v>42</v>
      </c>
      <c r="F19" s="102" t="str">
        <f>IF($E19=0,"",VLOOKUP($E19,sez!$A$2:$D$259,2))</f>
        <v>Novohradská Karolína</v>
      </c>
      <c r="G19" s="102" t="str">
        <f>IF($E19=0,"",VLOOKUP($E19,sez!$A$2:$D$259,4))</f>
        <v>KST Blansko</v>
      </c>
      <c r="H19" s="102">
        <f>U17</f>
        <v>3</v>
      </c>
      <c r="I19" s="102" t="str">
        <f>IF($H19=0,"",VLOOKUP($H19,sez!$A$2:$D$259,2))</f>
        <v>Krištof Lukáš</v>
      </c>
      <c r="J19" s="102" t="str">
        <f>IF($H19=0,"",VLOOKUP($H19,sez!$A$2:$D$259,4))</f>
        <v>Tišnov</v>
      </c>
      <c r="K19" s="102">
        <f>W17</f>
        <v>45</v>
      </c>
      <c r="L19" s="102" t="str">
        <f>IF($K19=0,"",VLOOKUP($K19,sez!$A$2:$D$259,2))</f>
        <v>Dreits Anastasiia</v>
      </c>
      <c r="M19" s="2" t="str">
        <f>IF($K19=0,"",VLOOKUP($K19,sez!$A$2:$D$259,4))</f>
        <v>Tišnov</v>
      </c>
      <c r="N19" s="71" t="s">
        <v>75</v>
      </c>
      <c r="O19" s="72" t="s">
        <v>81</v>
      </c>
      <c r="P19" s="72" t="s">
        <v>75</v>
      </c>
      <c r="Q19" s="72"/>
      <c r="R19" s="73"/>
      <c r="S19" s="2">
        <f>COUNTIF(AB19:AF19,"&gt;0")</f>
        <v>0</v>
      </c>
      <c r="T19" s="2">
        <f>COUNTIF(AB19:AF19,"&lt;0")</f>
        <v>3</v>
      </c>
      <c r="U19" s="2">
        <f>IF(S19=T19,0,IF(S19&gt;T19,B19,H19))</f>
        <v>3</v>
      </c>
      <c r="V19" s="2" t="str">
        <f>IF($U19=0,"",VLOOKUP($U19,sez!$A$2:$D$259,2))</f>
        <v>Krištof Lukáš</v>
      </c>
      <c r="W19" s="2">
        <f>IF(S19=T19,0,IF(S19&gt;T19,E19,K19))</f>
        <v>45</v>
      </c>
      <c r="X19" s="2" t="str">
        <f>IF($W19=0,"",VLOOKUP($W19,sez!$A$2:$D$259,2))</f>
        <v>Dreits Anastasiia</v>
      </c>
      <c r="Y19" s="2" t="str">
        <f>IF(S19=T19,"",IF(S19&gt;T19,CONCATENATE(S19,":",T19," (",N19,",",O19,",",P19,IF(SUM(S19:T19)&gt;3,",",""),Q19,IF(SUM(S19:T19)&gt;4,",",""),R19,")"),CONCATENATE(T19,":",S19," (",-N19,",",-O19,",",-P19,IF(SUM(S19:T19)&gt;3,",",""),IF(SUM(S19:T19)&gt;3,-Q19,""),IF(SUM(S19:T19)&gt;4,",",""),IF(SUM(S19:T19)&gt;4,-R19,""),")")))</f>
        <v>3:0 (9,6,9)</v>
      </c>
      <c r="Z19" s="2" t="str">
        <f>IF(MAX(S19:T19)=3,Y19,"")</f>
        <v>3:0 (9,6,9)</v>
      </c>
      <c r="AB19" s="24">
        <f>IF(N19="",0,IF(MID(N19,1,1)="-",-1,1))</f>
        <v>-1</v>
      </c>
      <c r="AC19" s="24">
        <f>IF(O19="",0,IF(MID(O19,1,1)="-",-1,1))</f>
        <v>-1</v>
      </c>
      <c r="AD19" s="24">
        <f>IF(P19="",0,IF(MID(P19,1,1)="-",-1,1))</f>
        <v>-1</v>
      </c>
      <c r="AE19" s="24">
        <f>IF(Q19="",0,IF(MID(Q19,1,1)="-",-1,1))</f>
        <v>0</v>
      </c>
      <c r="AF19" s="24">
        <f>IF(R19="",0,IF(MID(R19,1,1)="-",-1,1))</f>
        <v>0</v>
      </c>
    </row>
    <row r="20" spans="1:32" ht="13.5" thickTop="1" x14ac:dyDescent="0.2"/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67"/>
  <sheetViews>
    <sheetView tabSelected="1" view="pageBreakPreview" topLeftCell="A25" zoomScaleNormal="100" zoomScaleSheetLayoutView="100" workbookViewId="0">
      <selection activeCell="K25" sqref="K25"/>
    </sheetView>
  </sheetViews>
  <sheetFormatPr defaultRowHeight="12.75" x14ac:dyDescent="0.2"/>
  <cols>
    <col min="1" max="1" width="3.5703125" style="2" bestFit="1" customWidth="1"/>
    <col min="2" max="2" width="4.140625" style="2" customWidth="1"/>
    <col min="3" max="3" width="32" style="2" customWidth="1"/>
    <col min="4" max="4" width="0.85546875" style="2" customWidth="1"/>
    <col min="5" max="6" width="18.28515625" style="2" bestFit="1" customWidth="1"/>
    <col min="7" max="7" width="19.140625" style="2" bestFit="1" customWidth="1"/>
    <col min="8" max="8" width="19.28515625" style="2" customWidth="1"/>
    <col min="9" max="16384" width="9.140625" style="2"/>
  </cols>
  <sheetData>
    <row r="1" spans="1:8" ht="27" customHeight="1" x14ac:dyDescent="0.35">
      <c r="B1" s="3" t="str">
        <f>'2.st. M'!B1</f>
        <v>Krajské přebory</v>
      </c>
      <c r="H1" s="82"/>
    </row>
    <row r="2" spans="1:8" ht="21" customHeight="1" x14ac:dyDescent="0.3">
      <c r="B2" s="4"/>
      <c r="H2" s="20" t="str">
        <f>CONCATENATE("Čtyřhra ",úvod!C8,"Ž")</f>
        <v>Čtyřhra U19Ž</v>
      </c>
    </row>
    <row r="3" spans="1:8" ht="13.5" x14ac:dyDescent="0.25">
      <c r="B3" s="100">
        <v>44</v>
      </c>
      <c r="C3" s="2" t="str">
        <f>IF($B3="","",CONCATENATE(VLOOKUP($B3,sez!$A$2:$B$259,2)," (",VLOOKUP($B3,sez!$A$2:$E$259,4),")"))</f>
        <v>Novotná Eliška (SKST Hodonín)</v>
      </c>
      <c r="D3" s="4"/>
      <c r="H3" s="15"/>
    </row>
    <row r="4" spans="1:8" x14ac:dyDescent="0.2">
      <c r="A4" s="2">
        <v>1</v>
      </c>
      <c r="B4" s="5">
        <f>IF(B3="","",VLOOKUP(B3,debl!$B$1:$C$46,2,FALSE))</f>
        <v>43</v>
      </c>
      <c r="C4" s="5" t="str">
        <f>IF($B4="","bye",CONCATENATE(VLOOKUP($B4,sez!$A$2:$B$259,2)," (",VLOOKUP($B4,sez!$A$2:$E$259,4),")"))</f>
        <v>Holubová Simona (SKST Hodonín)</v>
      </c>
      <c r="E4" s="2" t="str">
        <f>'výs čt. Ž'!V2</f>
        <v>Novotná Eliška</v>
      </c>
    </row>
    <row r="5" spans="1:8" x14ac:dyDescent="0.2">
      <c r="B5" s="100"/>
      <c r="C5" s="2" t="str">
        <f>IF($B5="","",CONCATENATE(VLOOKUP($B5,sez!$A$2:$B$259,2)," (",VLOOKUP($B5,sez!$A$2:$E$259,4),")"))</f>
        <v/>
      </c>
      <c r="D5" s="13"/>
      <c r="E5" s="5" t="str">
        <f>'výs čt. Ž'!X2</f>
        <v>Holubová Simona</v>
      </c>
    </row>
    <row r="6" spans="1:8" x14ac:dyDescent="0.2">
      <c r="A6" s="2">
        <v>2</v>
      </c>
      <c r="B6" s="5" t="str">
        <f>IF(B5="","",VLOOKUP(B5,debl!$B$1:$C$46,2,FALSE))</f>
        <v/>
      </c>
      <c r="C6" s="5" t="str">
        <f>IF($B6="","bye",CONCATENATE(VLOOKUP($B6,sez!$A$2:$B$259,2)," (",VLOOKUP($B6,sez!$A$2:$E$259,4),")"))</f>
        <v>bye</v>
      </c>
      <c r="D6" s="14"/>
      <c r="E6" s="6" t="str">
        <f>'výs čt. Ž'!Z2</f>
        <v>3:0 (0,0,0)</v>
      </c>
      <c r="F6" s="2" t="str">
        <f>'výs čt. Ž'!V7</f>
        <v>Sobotíková Monika</v>
      </c>
    </row>
    <row r="7" spans="1:8" x14ac:dyDescent="0.2">
      <c r="B7" s="100">
        <v>49</v>
      </c>
      <c r="C7" s="2" t="str">
        <f>IF($B7="","",CONCATENATE(VLOOKUP($B7,sez!$A$2:$B$259,2)," (",VLOOKUP($B7,sez!$A$2:$E$259,4),")"))</f>
        <v>Pilitowská Lea (KST Blansko)</v>
      </c>
      <c r="D7" s="15"/>
      <c r="E7" s="8"/>
      <c r="F7" s="9" t="str">
        <f>'výs čt. Ž'!X7</f>
        <v>Mazalová Kristýna</v>
      </c>
    </row>
    <row r="8" spans="1:8" x14ac:dyDescent="0.2">
      <c r="A8" s="2">
        <v>3</v>
      </c>
      <c r="B8" s="5">
        <f>IF(B7="","",VLOOKUP(B7,debl!$B$1:$C$46,2,FALSE))</f>
        <v>52</v>
      </c>
      <c r="C8" s="5" t="str">
        <f>IF($B8="","bye",CONCATENATE(VLOOKUP($B8,sez!$A$2:$B$259,2)," (",VLOOKUP($B8,sez!$A$2:$E$259,4),")"))</f>
        <v>Habáňová Michaela (KST Blansko)</v>
      </c>
      <c r="D8" s="12"/>
      <c r="E8" s="8" t="str">
        <f>'výs čt. Ž'!V3</f>
        <v>Sobotíková Monika</v>
      </c>
      <c r="F8" s="6" t="str">
        <f>'výs čt. Ž'!Z7</f>
        <v>3:1 (7,-11,6,8)</v>
      </c>
    </row>
    <row r="9" spans="1:8" x14ac:dyDescent="0.2">
      <c r="B9" s="100">
        <v>41</v>
      </c>
      <c r="C9" s="2" t="str">
        <f>IF($B9="","",CONCATENATE(VLOOKUP($B9,sez!$A$2:$B$259,2)," (",VLOOKUP($B9,sez!$A$2:$E$259,4),")"))</f>
        <v>Sobotíková Monika (MS Brno)</v>
      </c>
      <c r="D9" s="13"/>
      <c r="E9" s="7" t="str">
        <f>'výs čt. Ž'!X3</f>
        <v>Mazalová Kristýna</v>
      </c>
      <c r="F9" s="8"/>
    </row>
    <row r="10" spans="1:8" x14ac:dyDescent="0.2">
      <c r="A10" s="2">
        <v>4</v>
      </c>
      <c r="B10" s="5">
        <f>IF(B9="","",VLOOKUP(B9,debl!$B$1:$C$46,2,FALSE))</f>
        <v>47</v>
      </c>
      <c r="C10" s="5" t="str">
        <f>IF($B10="","bye",CONCATENATE(VLOOKUP($B10,sez!$A$2:$B$259,2)," (",VLOOKUP($B10,sez!$A$2:$E$259,4),")"))</f>
        <v>Mazalová Kristýna (KST Blansko)</v>
      </c>
      <c r="D10" s="14"/>
      <c r="E10" s="2" t="str">
        <f>'výs čt. Ž'!Z3</f>
        <v>3:1 (-10,9,7,8)</v>
      </c>
      <c r="F10" s="8"/>
      <c r="G10" s="2" t="str">
        <f>'výs čt. Ž'!V10</f>
        <v>Novohradská Karolína</v>
      </c>
    </row>
    <row r="11" spans="1:8" x14ac:dyDescent="0.2">
      <c r="B11" s="100">
        <v>45</v>
      </c>
      <c r="C11" s="2" t="str">
        <f>IF($B11="","",CONCATENATE(VLOOKUP($B11,sez!$A$2:$B$259,2)," (",VLOOKUP($B11,sez!$A$2:$E$259,4),")"))</f>
        <v>Dreits Anastasiia (Tišnov)</v>
      </c>
      <c r="D11" s="15"/>
      <c r="F11" s="8"/>
      <c r="G11" s="9" t="str">
        <f>'výs čt. Ž'!X10</f>
        <v>Masopustová Lucie</v>
      </c>
    </row>
    <row r="12" spans="1:8" x14ac:dyDescent="0.2">
      <c r="A12" s="2">
        <v>5</v>
      </c>
      <c r="B12" s="5">
        <f>IF(B11="","",VLOOKUP(B11,debl!$B$1:$C$46,2,FALSE))</f>
        <v>48</v>
      </c>
      <c r="C12" s="5" t="str">
        <f>IF($B12="","bye",CONCATENATE(VLOOKUP($B12,sez!$A$2:$B$259,2)," (",VLOOKUP($B12,sez!$A$2:$E$259,4),")"))</f>
        <v>Kotásková Kristýna (TJ Mikulčice)</v>
      </c>
      <c r="D12" s="12"/>
      <c r="E12" s="2" t="str">
        <f>'výs čt. Ž'!V4</f>
        <v>Dreits Anastasiia</v>
      </c>
      <c r="F12" s="8"/>
      <c r="G12" s="86" t="str">
        <f>'výs čt. Ž'!Z10</f>
        <v>3:2 (9,-9,7,-6,9)</v>
      </c>
      <c r="H12" s="81"/>
    </row>
    <row r="13" spans="1:8" x14ac:dyDescent="0.2">
      <c r="B13" s="100"/>
      <c r="C13" s="2" t="str">
        <f>IF($B13="","",CONCATENATE(VLOOKUP($B13,sez!$A$2:$B$259,2)," (",VLOOKUP($B13,sez!$A$2:$E$259,4),")"))</f>
        <v/>
      </c>
      <c r="D13" s="13"/>
      <c r="E13" s="5" t="str">
        <f>'výs čt. Ž'!X4</f>
        <v>Kotásková Kristýna</v>
      </c>
      <c r="F13" s="8"/>
      <c r="G13" s="81"/>
      <c r="H13" s="81"/>
    </row>
    <row r="14" spans="1:8" x14ac:dyDescent="0.2">
      <c r="A14" s="2">
        <v>6</v>
      </c>
      <c r="B14" s="5" t="str">
        <f>IF(B13="","",VLOOKUP(B13,debl!$B$1:$C$46,2,FALSE))</f>
        <v/>
      </c>
      <c r="C14" s="5" t="str">
        <f>IF($B14="","bye",CONCATENATE(VLOOKUP($B14,sez!$A$2:$B$259,2)," (",VLOOKUP($B14,sez!$A$2:$E$259,4),")"))</f>
        <v>bye</v>
      </c>
      <c r="D14" s="14"/>
      <c r="E14" s="6" t="str">
        <f>'výs čt. Ž'!Z4</f>
        <v>3:0 (0,0,0)</v>
      </c>
      <c r="F14" s="8" t="str">
        <f>'výs čt. Ž'!V8</f>
        <v>Novohradská Karolína</v>
      </c>
      <c r="G14" s="81"/>
      <c r="H14" s="81"/>
    </row>
    <row r="15" spans="1:8" x14ac:dyDescent="0.2">
      <c r="B15" s="100"/>
      <c r="C15" s="2" t="str">
        <f>IF($B15="","",CONCATENATE(VLOOKUP($B15,sez!$A$2:$B$259,2)," (",VLOOKUP($B15,sez!$A$2:$E$259,4),")"))</f>
        <v/>
      </c>
      <c r="D15" s="15"/>
      <c r="E15" s="8"/>
      <c r="F15" s="10" t="str">
        <f>'výs čt. Ž'!X8</f>
        <v>Masopustová Lucie</v>
      </c>
      <c r="G15" s="81"/>
      <c r="H15" s="81"/>
    </row>
    <row r="16" spans="1:8" x14ac:dyDescent="0.2">
      <c r="A16" s="2">
        <v>7</v>
      </c>
      <c r="B16" s="5" t="str">
        <f>IF(B15="","",VLOOKUP(B15,debl!$B$1:$C$46,2,FALSE))</f>
        <v/>
      </c>
      <c r="C16" s="5" t="str">
        <f>IF($B16="","bye",CONCATENATE(VLOOKUP($B16,sez!$A$2:$B$259,2)," (",VLOOKUP($B16,sez!$A$2:$E$259,4),")"))</f>
        <v>bye</v>
      </c>
      <c r="D16" s="12"/>
      <c r="E16" s="8" t="str">
        <f>'výs čt. Ž'!V5</f>
        <v>Novohradská Karolína</v>
      </c>
      <c r="F16" s="2" t="str">
        <f>'výs čt. Ž'!Z8</f>
        <v>3:1 (7,10,-5,1)</v>
      </c>
      <c r="G16" s="81"/>
      <c r="H16" s="81"/>
    </row>
    <row r="17" spans="1:8" x14ac:dyDescent="0.2">
      <c r="B17" s="100">
        <v>42</v>
      </c>
      <c r="C17" s="2" t="str">
        <f>IF($B17="","",CONCATENATE(VLOOKUP($B17,sez!$A$2:$B$259,2)," (",VLOOKUP($B17,sez!$A$2:$E$259,4),")"))</f>
        <v>Novohradská Karolína (KST Blansko)</v>
      </c>
      <c r="D17" s="13"/>
      <c r="E17" s="7" t="str">
        <f>'výs čt. Ž'!X5</f>
        <v>Masopustová Lucie</v>
      </c>
      <c r="G17" s="81"/>
      <c r="H17" s="81"/>
    </row>
    <row r="18" spans="1:8" x14ac:dyDescent="0.2">
      <c r="A18" s="2">
        <v>8</v>
      </c>
      <c r="B18" s="5">
        <f>IF(B17="","",VLOOKUP(B17,debl!$B$1:$C$46,2,FALSE))</f>
        <v>46</v>
      </c>
      <c r="C18" s="5" t="str">
        <f>IF($B18="","bye",CONCATENATE(VLOOKUP($B18,sez!$A$2:$B$259,2)," (",VLOOKUP($B18,sez!$A$2:$E$259,4),")"))</f>
        <v>Masopustová Lucie (MSK Břeclav)</v>
      </c>
      <c r="D18" s="14"/>
      <c r="E18" s="2" t="str">
        <f>'výs čt. Ž'!Z5</f>
        <v>3:0 (0,0,0)</v>
      </c>
      <c r="G18" s="81"/>
      <c r="H18" s="81"/>
    </row>
    <row r="19" spans="1:8" x14ac:dyDescent="0.2">
      <c r="C19" s="2" t="str">
        <f>IF($B19="","",CONCATENATE(VLOOKUP($B19,sez!$A$2:$B$259,2)," (",VLOOKUP($B19,sez!$A$2:$E$259,4),")"))</f>
        <v/>
      </c>
      <c r="D19" s="15"/>
      <c r="G19" s="81"/>
      <c r="H19" s="81"/>
    </row>
    <row r="20" spans="1:8" x14ac:dyDescent="0.2">
      <c r="A20" s="81"/>
      <c r="B20" s="81"/>
      <c r="C20" s="81"/>
      <c r="D20" s="87"/>
      <c r="E20" s="81"/>
      <c r="F20" s="81"/>
      <c r="G20" s="81"/>
      <c r="H20" s="81"/>
    </row>
    <row r="21" spans="1:8" x14ac:dyDescent="0.2">
      <c r="A21" s="81"/>
      <c r="B21" s="81"/>
      <c r="C21" s="81"/>
      <c r="D21" s="87"/>
      <c r="E21" s="81"/>
      <c r="F21" s="81"/>
      <c r="G21" s="81"/>
      <c r="H21" s="81"/>
    </row>
    <row r="22" spans="1:8" x14ac:dyDescent="0.2">
      <c r="A22" s="81"/>
      <c r="B22" s="81"/>
      <c r="C22" s="81"/>
      <c r="D22" s="87"/>
      <c r="E22" s="81"/>
      <c r="F22" s="81"/>
      <c r="G22" s="81"/>
      <c r="H22" s="81"/>
    </row>
    <row r="23" spans="1:8" x14ac:dyDescent="0.2">
      <c r="A23" s="81"/>
      <c r="B23" s="81"/>
      <c r="C23" s="81"/>
      <c r="D23" s="87"/>
      <c r="E23" s="81"/>
      <c r="F23" s="81"/>
      <c r="G23" s="81"/>
      <c r="H23" s="81"/>
    </row>
    <row r="24" spans="1:8" x14ac:dyDescent="0.2">
      <c r="A24" s="81"/>
      <c r="B24" s="81"/>
      <c r="C24" s="81"/>
      <c r="D24" s="87"/>
      <c r="E24" s="81"/>
      <c r="F24" s="81"/>
      <c r="G24" s="81"/>
      <c r="H24" s="81"/>
    </row>
    <row r="25" spans="1:8" x14ac:dyDescent="0.2">
      <c r="A25" s="81"/>
      <c r="B25" s="81"/>
      <c r="C25" s="81"/>
      <c r="D25" s="87"/>
      <c r="E25" s="81"/>
      <c r="F25" s="81"/>
      <c r="G25" s="81"/>
      <c r="H25" s="81"/>
    </row>
    <row r="26" spans="1:8" x14ac:dyDescent="0.2">
      <c r="A26" s="81"/>
      <c r="B26" s="81"/>
      <c r="C26" s="81"/>
      <c r="D26" s="87"/>
      <c r="E26" s="81"/>
      <c r="F26" s="81"/>
      <c r="G26" s="81"/>
      <c r="H26" s="88"/>
    </row>
    <row r="27" spans="1:8" x14ac:dyDescent="0.2">
      <c r="A27" s="81"/>
      <c r="B27" s="81"/>
      <c r="C27" s="81"/>
      <c r="D27" s="87"/>
      <c r="E27" s="81"/>
      <c r="F27" s="81"/>
      <c r="G27" s="81"/>
      <c r="H27" s="88"/>
    </row>
    <row r="28" spans="1:8" x14ac:dyDescent="0.2">
      <c r="A28" s="81"/>
      <c r="B28" s="81"/>
      <c r="C28" s="81"/>
      <c r="D28" s="87"/>
      <c r="E28" s="81"/>
      <c r="F28" s="81"/>
      <c r="G28" s="81"/>
      <c r="H28" s="81"/>
    </row>
    <row r="29" spans="1:8" x14ac:dyDescent="0.2">
      <c r="A29" s="81"/>
      <c r="B29" s="81"/>
      <c r="C29" s="81"/>
      <c r="D29" s="87"/>
      <c r="E29" s="81"/>
      <c r="F29" s="81"/>
      <c r="G29" s="81"/>
      <c r="H29" s="81"/>
    </row>
    <row r="30" spans="1:8" x14ac:dyDescent="0.2">
      <c r="A30" s="81"/>
      <c r="B30" s="81"/>
      <c r="C30" s="81"/>
      <c r="D30" s="87"/>
      <c r="E30" s="81"/>
      <c r="F30" s="81"/>
      <c r="G30" s="81"/>
      <c r="H30" s="81"/>
    </row>
    <row r="31" spans="1:8" x14ac:dyDescent="0.2">
      <c r="A31" s="81"/>
      <c r="B31" s="81"/>
      <c r="C31" s="81"/>
      <c r="D31" s="87"/>
      <c r="E31" s="81"/>
      <c r="F31" s="81"/>
      <c r="G31" s="81"/>
      <c r="H31" s="81"/>
    </row>
    <row r="32" spans="1:8" x14ac:dyDescent="0.2">
      <c r="A32" s="81"/>
      <c r="B32" s="81"/>
      <c r="C32" s="81"/>
      <c r="D32" s="87"/>
      <c r="E32" s="81"/>
      <c r="F32" s="81"/>
      <c r="G32" s="81"/>
      <c r="H32" s="81"/>
    </row>
    <row r="33" spans="1:8" x14ac:dyDescent="0.2">
      <c r="A33" s="81"/>
      <c r="B33" s="81"/>
      <c r="C33" s="81"/>
      <c r="D33" s="87"/>
      <c r="E33" s="81"/>
      <c r="F33" s="81"/>
      <c r="G33" s="81"/>
      <c r="H33" s="81"/>
    </row>
    <row r="34" spans="1:8" x14ac:dyDescent="0.2">
      <c r="A34" s="81"/>
      <c r="B34" s="81"/>
      <c r="C34" s="81"/>
      <c r="D34" s="87"/>
      <c r="E34" s="81"/>
      <c r="F34" s="81"/>
      <c r="G34" s="81"/>
      <c r="H34" s="81"/>
    </row>
    <row r="35" spans="1:8" x14ac:dyDescent="0.2">
      <c r="A35" s="81"/>
      <c r="B35" s="81"/>
      <c r="C35" s="81"/>
      <c r="D35" s="87"/>
      <c r="E35" s="81"/>
      <c r="F35" s="81"/>
      <c r="G35" s="81"/>
      <c r="H35" s="81"/>
    </row>
    <row r="36" spans="1:8" x14ac:dyDescent="0.2">
      <c r="A36" s="81"/>
      <c r="B36" s="81"/>
      <c r="C36" s="81"/>
      <c r="D36" s="87"/>
      <c r="E36" s="81"/>
      <c r="F36" s="81"/>
      <c r="G36" s="81"/>
      <c r="H36" s="81"/>
    </row>
    <row r="37" spans="1:8" x14ac:dyDescent="0.2">
      <c r="A37" s="81"/>
      <c r="B37" s="81"/>
      <c r="C37" s="81"/>
      <c r="D37" s="87"/>
      <c r="E37" s="81"/>
      <c r="F37" s="81"/>
      <c r="G37" s="81"/>
      <c r="H37" s="81"/>
    </row>
    <row r="38" spans="1:8" x14ac:dyDescent="0.2">
      <c r="A38" s="81"/>
      <c r="B38" s="81"/>
      <c r="C38" s="81"/>
      <c r="D38" s="87"/>
      <c r="E38" s="81"/>
      <c r="F38" s="81"/>
      <c r="G38" s="81"/>
      <c r="H38" s="81"/>
    </row>
    <row r="39" spans="1:8" x14ac:dyDescent="0.2">
      <c r="A39" s="81"/>
      <c r="B39" s="81"/>
      <c r="C39" s="81"/>
      <c r="D39" s="87"/>
      <c r="E39" s="81"/>
      <c r="F39" s="81"/>
      <c r="G39" s="81"/>
      <c r="H39" s="81"/>
    </row>
    <row r="40" spans="1:8" x14ac:dyDescent="0.2">
      <c r="A40" s="81"/>
      <c r="B40" s="81"/>
      <c r="C40" s="81"/>
      <c r="D40" s="87"/>
      <c r="E40" s="81"/>
      <c r="F40" s="81"/>
      <c r="G40" s="81"/>
      <c r="H40" s="81"/>
    </row>
    <row r="41" spans="1:8" x14ac:dyDescent="0.2">
      <c r="A41" s="81"/>
      <c r="B41" s="81"/>
      <c r="C41" s="81"/>
      <c r="D41" s="87"/>
      <c r="E41" s="81"/>
      <c r="F41" s="81"/>
      <c r="G41" s="81"/>
      <c r="H41" s="81"/>
    </row>
    <row r="42" spans="1:8" x14ac:dyDescent="0.2">
      <c r="A42" s="81"/>
      <c r="B42" s="81"/>
      <c r="C42" s="81"/>
      <c r="D42" s="87"/>
      <c r="E42" s="81"/>
      <c r="F42" s="81"/>
      <c r="G42" s="81"/>
      <c r="H42" s="88"/>
    </row>
    <row r="43" spans="1:8" x14ac:dyDescent="0.2">
      <c r="A43" s="81"/>
      <c r="B43" s="81"/>
      <c r="C43" s="81"/>
      <c r="D43" s="87"/>
      <c r="E43" s="81"/>
      <c r="F43" s="81"/>
      <c r="G43" s="81"/>
      <c r="H43" s="88"/>
    </row>
    <row r="44" spans="1:8" x14ac:dyDescent="0.2">
      <c r="A44" s="81"/>
      <c r="B44" s="81"/>
      <c r="C44" s="81"/>
      <c r="D44" s="87"/>
      <c r="E44" s="81"/>
      <c r="F44" s="81"/>
      <c r="G44" s="81"/>
      <c r="H44" s="81"/>
    </row>
    <row r="45" spans="1:8" x14ac:dyDescent="0.2">
      <c r="A45" s="81"/>
      <c r="B45" s="81"/>
      <c r="C45" s="81"/>
      <c r="D45" s="87"/>
      <c r="E45" s="81"/>
      <c r="F45" s="81"/>
      <c r="G45" s="81"/>
      <c r="H45" s="81"/>
    </row>
    <row r="46" spans="1:8" x14ac:dyDescent="0.2">
      <c r="A46" s="81"/>
      <c r="B46" s="81"/>
      <c r="C46" s="81"/>
      <c r="D46" s="87"/>
      <c r="E46" s="81"/>
      <c r="F46" s="81"/>
      <c r="G46" s="81"/>
      <c r="H46" s="81"/>
    </row>
    <row r="47" spans="1:8" x14ac:dyDescent="0.2">
      <c r="A47" s="81"/>
      <c r="B47" s="81"/>
      <c r="C47" s="81"/>
      <c r="D47" s="87"/>
      <c r="E47" s="81"/>
      <c r="F47" s="81"/>
      <c r="G47" s="81"/>
      <c r="H47" s="81"/>
    </row>
    <row r="48" spans="1:8" x14ac:dyDescent="0.2">
      <c r="A48" s="81"/>
      <c r="B48" s="81"/>
      <c r="C48" s="81"/>
      <c r="D48" s="87"/>
      <c r="E48" s="81"/>
      <c r="F48" s="81"/>
      <c r="G48" s="81"/>
      <c r="H48" s="81"/>
    </row>
    <row r="49" spans="1:8" x14ac:dyDescent="0.2">
      <c r="A49" s="81"/>
      <c r="B49" s="81"/>
      <c r="C49" s="81"/>
      <c r="D49" s="87"/>
      <c r="E49" s="81"/>
      <c r="F49" s="81"/>
      <c r="G49" s="81"/>
      <c r="H49" s="81"/>
    </row>
    <row r="50" spans="1:8" x14ac:dyDescent="0.2">
      <c r="A50" s="81"/>
      <c r="B50" s="81"/>
      <c r="C50" s="81"/>
      <c r="D50" s="87"/>
      <c r="E50" s="81"/>
      <c r="F50" s="81"/>
      <c r="G50" s="81"/>
      <c r="H50" s="81"/>
    </row>
    <row r="51" spans="1:8" x14ac:dyDescent="0.2">
      <c r="A51" s="81"/>
      <c r="B51" s="81"/>
      <c r="C51" s="81"/>
      <c r="D51" s="87"/>
      <c r="E51" s="81"/>
      <c r="F51" s="81"/>
      <c r="G51" s="81"/>
      <c r="H51" s="81"/>
    </row>
    <row r="52" spans="1:8" x14ac:dyDescent="0.2">
      <c r="A52" s="81"/>
      <c r="B52" s="81"/>
      <c r="C52" s="81"/>
      <c r="D52" s="87"/>
      <c r="E52" s="81"/>
      <c r="F52" s="81"/>
      <c r="G52" s="81"/>
      <c r="H52" s="81"/>
    </row>
    <row r="53" spans="1:8" x14ac:dyDescent="0.2">
      <c r="A53" s="81"/>
      <c r="B53" s="81"/>
      <c r="C53" s="81"/>
      <c r="D53" s="87"/>
      <c r="E53" s="81"/>
      <c r="F53" s="81"/>
      <c r="G53" s="81"/>
      <c r="H53" s="81"/>
    </row>
    <row r="54" spans="1:8" x14ac:dyDescent="0.2">
      <c r="A54" s="81"/>
      <c r="B54" s="81"/>
      <c r="C54" s="81"/>
      <c r="D54" s="87"/>
      <c r="E54" s="81"/>
      <c r="F54" s="81"/>
      <c r="G54" s="81"/>
      <c r="H54" s="81"/>
    </row>
    <row r="55" spans="1:8" x14ac:dyDescent="0.2">
      <c r="A55" s="81"/>
      <c r="B55" s="81"/>
      <c r="C55" s="81"/>
      <c r="D55" s="87"/>
      <c r="E55" s="81"/>
      <c r="F55" s="81"/>
      <c r="G55" s="81"/>
      <c r="H55" s="81"/>
    </row>
    <row r="56" spans="1:8" x14ac:dyDescent="0.2">
      <c r="A56" s="81"/>
      <c r="B56" s="81"/>
      <c r="C56" s="81"/>
      <c r="D56" s="87"/>
      <c r="E56" s="81"/>
      <c r="F56" s="81"/>
      <c r="G56" s="81"/>
      <c r="H56" s="81"/>
    </row>
    <row r="57" spans="1:8" x14ac:dyDescent="0.2">
      <c r="A57" s="81"/>
      <c r="B57" s="81"/>
      <c r="C57" s="81"/>
      <c r="D57" s="87"/>
      <c r="E57" s="81"/>
      <c r="F57" s="81"/>
      <c r="G57" s="81"/>
      <c r="H57" s="81"/>
    </row>
    <row r="58" spans="1:8" x14ac:dyDescent="0.2">
      <c r="A58" s="81"/>
      <c r="B58" s="81"/>
      <c r="C58" s="81"/>
      <c r="D58" s="87"/>
      <c r="E58" s="81"/>
      <c r="F58" s="81"/>
      <c r="G58" s="81"/>
      <c r="H58" s="81"/>
    </row>
    <row r="59" spans="1:8" x14ac:dyDescent="0.2">
      <c r="A59" s="81"/>
      <c r="B59" s="81"/>
      <c r="C59" s="81"/>
      <c r="D59" s="87"/>
      <c r="E59" s="81"/>
      <c r="F59" s="81"/>
      <c r="G59" s="81"/>
    </row>
    <row r="60" spans="1:8" x14ac:dyDescent="0.2">
      <c r="A60" s="81"/>
      <c r="B60" s="81"/>
      <c r="C60" s="81"/>
      <c r="D60" s="87"/>
      <c r="E60" s="81"/>
      <c r="F60" s="81"/>
      <c r="G60" s="81"/>
    </row>
    <row r="61" spans="1:8" x14ac:dyDescent="0.2">
      <c r="A61" s="81"/>
      <c r="B61" s="81"/>
      <c r="C61" s="81"/>
      <c r="D61" s="87"/>
      <c r="E61" s="81"/>
      <c r="F61" s="81"/>
      <c r="G61" s="81"/>
    </row>
    <row r="62" spans="1:8" x14ac:dyDescent="0.2">
      <c r="A62" s="81"/>
      <c r="B62" s="81"/>
      <c r="C62" s="81"/>
      <c r="D62" s="87"/>
      <c r="E62" s="81"/>
      <c r="F62" s="81"/>
      <c r="G62" s="81"/>
    </row>
    <row r="63" spans="1:8" x14ac:dyDescent="0.2">
      <c r="A63" s="81"/>
      <c r="B63" s="81"/>
      <c r="C63" s="81"/>
      <c r="D63" s="87"/>
      <c r="E63" s="81"/>
      <c r="F63" s="81"/>
      <c r="G63" s="81"/>
    </row>
    <row r="64" spans="1:8" x14ac:dyDescent="0.2">
      <c r="A64" s="81"/>
      <c r="B64" s="81"/>
      <c r="C64" s="81"/>
      <c r="D64" s="87"/>
      <c r="E64" s="81"/>
      <c r="F64" s="81"/>
      <c r="G64" s="81"/>
    </row>
    <row r="65" spans="1:7" x14ac:dyDescent="0.2">
      <c r="A65" s="81"/>
      <c r="B65" s="81"/>
      <c r="C65" s="81"/>
      <c r="D65" s="87"/>
      <c r="E65" s="81"/>
      <c r="F65" s="81"/>
      <c r="G65" s="81"/>
    </row>
    <row r="66" spans="1:7" x14ac:dyDescent="0.2">
      <c r="A66" s="81"/>
      <c r="B66" s="81"/>
      <c r="C66" s="81"/>
      <c r="D66" s="87"/>
      <c r="E66" s="81"/>
      <c r="F66" s="81"/>
      <c r="G66" s="81"/>
    </row>
    <row r="67" spans="1:7" x14ac:dyDescent="0.2">
      <c r="D67" s="87"/>
    </row>
  </sheetData>
  <phoneticPr fontId="0" type="noConversion"/>
  <printOptions horizontalCentered="1"/>
  <pageMargins left="0.39370078740157483" right="0.39370078740157483" top="0.39370078740157483" bottom="0.59055118110236227" header="0.51181102362204722" footer="0.51181102362204722"/>
  <pageSetup paperSize="9" scale="84" fitToHeight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F13"/>
  <sheetViews>
    <sheetView workbookViewId="0">
      <pane ySplit="1" topLeftCell="A2" activePane="bottomLeft" state="frozen"/>
      <selection activeCell="K25" sqref="K25"/>
      <selection pane="bottomLeft" activeCell="K25" sqref="K25"/>
    </sheetView>
  </sheetViews>
  <sheetFormatPr defaultRowHeight="12.75" x14ac:dyDescent="0.2"/>
  <cols>
    <col min="1" max="1" width="19.5703125" style="2" customWidth="1"/>
    <col min="2" max="2" width="4.5703125" style="2" bestFit="1" customWidth="1"/>
    <col min="3" max="3" width="16" style="2" bestFit="1" customWidth="1"/>
    <col min="4" max="4" width="7" style="2" bestFit="1" customWidth="1"/>
    <col min="5" max="5" width="4.5703125" style="2" bestFit="1" customWidth="1"/>
    <col min="6" max="6" width="16" style="2" bestFit="1" customWidth="1"/>
    <col min="7" max="7" width="7" style="2" bestFit="1" customWidth="1"/>
    <col min="8" max="8" width="4.85546875" style="2" bestFit="1" customWidth="1"/>
    <col min="9" max="9" width="16" style="2" bestFit="1" customWidth="1"/>
    <col min="10" max="10" width="7" style="2" bestFit="1" customWidth="1"/>
    <col min="11" max="11" width="4.85546875" style="2" bestFit="1" customWidth="1"/>
    <col min="12" max="12" width="14.42578125" style="2" bestFit="1" customWidth="1"/>
    <col min="13" max="13" width="7" style="2" bestFit="1" customWidth="1"/>
    <col min="14" max="15" width="3.85546875" style="2" customWidth="1"/>
    <col min="16" max="20" width="4.28515625" style="2" customWidth="1"/>
    <col min="21" max="21" width="4.5703125" style="2" bestFit="1" customWidth="1"/>
    <col min="22" max="22" width="12" style="2" customWidth="1"/>
    <col min="23" max="23" width="4.140625" style="2" customWidth="1"/>
    <col min="24" max="24" width="11" style="2" customWidth="1"/>
    <col min="25" max="25" width="3.140625" style="2" customWidth="1"/>
    <col min="26" max="26" width="21.7109375" style="2" bestFit="1" customWidth="1"/>
    <col min="27" max="27" width="2.7109375" style="2" customWidth="1"/>
    <col min="28" max="32" width="4.140625" style="2" customWidth="1"/>
    <col min="33" max="16384" width="9.140625" style="2"/>
  </cols>
  <sheetData>
    <row r="1" spans="1:32" ht="13.5" thickBot="1" x14ac:dyDescent="0.25">
      <c r="B1" s="1" t="s">
        <v>0</v>
      </c>
      <c r="C1" s="101" t="s">
        <v>1</v>
      </c>
      <c r="D1" s="101" t="s">
        <v>2</v>
      </c>
      <c r="E1" s="101" t="s">
        <v>0</v>
      </c>
      <c r="F1" s="101" t="s">
        <v>3</v>
      </c>
      <c r="G1" s="101" t="s">
        <v>2</v>
      </c>
      <c r="H1" s="101" t="s">
        <v>0</v>
      </c>
      <c r="I1" s="101" t="s">
        <v>14</v>
      </c>
      <c r="J1" s="101" t="s">
        <v>2</v>
      </c>
      <c r="K1" s="101" t="s">
        <v>0</v>
      </c>
      <c r="L1" s="101" t="s">
        <v>15</v>
      </c>
      <c r="M1" s="1" t="s">
        <v>2</v>
      </c>
      <c r="N1" s="23" t="s">
        <v>4</v>
      </c>
      <c r="O1" s="23" t="s">
        <v>5</v>
      </c>
      <c r="P1" s="23" t="s">
        <v>6</v>
      </c>
      <c r="Q1" s="23" t="s">
        <v>7</v>
      </c>
      <c r="R1" s="23" t="s">
        <v>8</v>
      </c>
      <c r="S1" s="1" t="s">
        <v>9</v>
      </c>
      <c r="T1" s="1" t="s">
        <v>10</v>
      </c>
      <c r="U1" s="1" t="s">
        <v>11</v>
      </c>
    </row>
    <row r="2" spans="1:32" ht="13.5" thickTop="1" x14ac:dyDescent="0.2">
      <c r="A2" s="131" t="str">
        <f>CONCATENATE("Čtyřhra ",úvod!$C$8,"Ž - 1.kolo")</f>
        <v>Čtyřhra U19Ž - 1.kolo</v>
      </c>
      <c r="B2" s="131">
        <f>'čt. Ž'!$B$3</f>
        <v>44</v>
      </c>
      <c r="C2" s="131" t="str">
        <f>IF($B2=0,"bye",VLOOKUP($B2,sez!$A$2:$D$259,2))</f>
        <v>Novotná Eliška</v>
      </c>
      <c r="D2" s="131" t="str">
        <f>IF($B2=0,"",VLOOKUP($B2,sez!$A$2:$D$259,4))</f>
        <v>SKST Hodonín</v>
      </c>
      <c r="E2" s="131">
        <f>'čt. Ž'!$B$4</f>
        <v>43</v>
      </c>
      <c r="F2" s="131" t="str">
        <f>IF($E2="","bye",VLOOKUP($E2,sez!$A$2:$D$259,2))</f>
        <v>Holubová Simona</v>
      </c>
      <c r="G2" s="131" t="str">
        <f>IF($E2="","",VLOOKUP($E2,sez!$A$2:$D$259,4))</f>
        <v>SKST Hodonín</v>
      </c>
      <c r="H2" s="131">
        <f>'čt. Ž'!$B$5</f>
        <v>0</v>
      </c>
      <c r="I2" s="131" t="str">
        <f>IF($H2=0,"bye",VLOOKUP($H2,sez!$A$2:$D$259,2))</f>
        <v>bye</v>
      </c>
      <c r="J2" s="131" t="str">
        <f>IF($H2=0,"",VLOOKUP($H2,sez!$A$2:$D$259,4))</f>
        <v/>
      </c>
      <c r="K2" s="131" t="str">
        <f>'čt. Ž'!$B$6</f>
        <v/>
      </c>
      <c r="L2" s="131" t="str">
        <f>IF($K2="","bye",VLOOKUP($K2,sez!$A$2:$D$259,2))</f>
        <v>bye</v>
      </c>
      <c r="M2" s="131" t="str">
        <f>IF($K2="","",VLOOKUP($K2,sez!$A$2:$D$259,4))</f>
        <v/>
      </c>
      <c r="N2" s="62" t="s">
        <v>89</v>
      </c>
      <c r="O2" s="63" t="s">
        <v>89</v>
      </c>
      <c r="P2" s="63" t="s">
        <v>89</v>
      </c>
      <c r="Q2" s="63"/>
      <c r="R2" s="64"/>
      <c r="S2" s="2">
        <f>COUNTIF(AB2:AF2,"&gt;0")</f>
        <v>3</v>
      </c>
      <c r="T2" s="2">
        <f>COUNTIF(AB2:AF2,"&lt;0")</f>
        <v>0</v>
      </c>
      <c r="U2" s="2">
        <f>IF(S2=T2,0,IF(S2&gt;T2,B2,H2))</f>
        <v>44</v>
      </c>
      <c r="V2" s="2" t="str">
        <f>IF($U2=0,"",VLOOKUP($U2,sez!$A$2:$D$259,2))</f>
        <v>Novotná Eliška</v>
      </c>
      <c r="W2" s="2">
        <f>IF(S2=T2,0,IF(S2&gt;T2,E2,K2))</f>
        <v>43</v>
      </c>
      <c r="X2" s="2" t="str">
        <f>IF($W2=0,"",VLOOKUP($W2,sez!$A$2:$D$259,2))</f>
        <v>Holubová Simona</v>
      </c>
      <c r="Y2" s="2" t="str">
        <f>IF(S2=T2,"",IF(S2&gt;T2,CONCATENATE(S2,":",T2," (",N2,",",O2,",",P2,IF(SUM(S2:T2)&gt;3,",",""),Q2,IF(SUM(S2:T2)&gt;4,",",""),R2,")"),CONCATENATE(T2,":",S2," (",-N2,",",-O2,",",-P2,IF(SUM(S2:T2)&gt;3,",",""),IF(SUM(S2:T2)&gt;3,-Q2,""),IF(SUM(S2:T2)&gt;4,",",""),IF(SUM(S2:T2)&gt;4,-R2,""),")")))</f>
        <v>3:0 (0,0,0)</v>
      </c>
      <c r="Z2" s="2" t="str">
        <f>IF(MAX(S2:T2)=3,Y2,"")</f>
        <v>3:0 (0,0,0)</v>
      </c>
      <c r="AB2" s="24">
        <f t="shared" ref="AB2:AF5" si="0">IF(N2="",0,IF(MID(N2,1,1)="-",-1,1))</f>
        <v>1</v>
      </c>
      <c r="AC2" s="24">
        <f t="shared" si="0"/>
        <v>1</v>
      </c>
      <c r="AD2" s="24">
        <f t="shared" si="0"/>
        <v>1</v>
      </c>
      <c r="AE2" s="24">
        <f t="shared" si="0"/>
        <v>0</v>
      </c>
      <c r="AF2" s="24">
        <f t="shared" si="0"/>
        <v>0</v>
      </c>
    </row>
    <row r="3" spans="1:32" x14ac:dyDescent="0.2">
      <c r="A3" s="131" t="str">
        <f>CONCATENATE("Čtyřhra ",úvod!$C$8,"Ž - 1.kolo")</f>
        <v>Čtyřhra U19Ž - 1.kolo</v>
      </c>
      <c r="B3" s="131">
        <f>'čt. Ž'!$B$7</f>
        <v>49</v>
      </c>
      <c r="C3" s="131" t="str">
        <f>IF($B3=0,"bye",VLOOKUP($B3,sez!$A$2:$D$259,2))</f>
        <v>Pilitowská Lea</v>
      </c>
      <c r="D3" s="131" t="str">
        <f>IF($B3=0,"",VLOOKUP($B3,sez!$A$2:$D$259,4))</f>
        <v>KST Blansko</v>
      </c>
      <c r="E3" s="131">
        <f>'čt. Ž'!$B$8</f>
        <v>52</v>
      </c>
      <c r="F3" s="131" t="str">
        <f>IF($E3="","bye",VLOOKUP($E3,sez!$A$2:$D$259,2))</f>
        <v>Habáňová Michaela</v>
      </c>
      <c r="G3" s="131" t="str">
        <f>IF($E3="","",VLOOKUP($E3,sez!$A$2:$D$259,4))</f>
        <v>KST Blansko</v>
      </c>
      <c r="H3" s="131">
        <f>'čt. Ž'!$B$9</f>
        <v>41</v>
      </c>
      <c r="I3" s="131" t="str">
        <f>IF($H3=0,"bye",VLOOKUP($H3,sez!$A$2:$D$259,2))</f>
        <v>Sobotíková Monika</v>
      </c>
      <c r="J3" s="131" t="str">
        <f>IF($H3=0,"",VLOOKUP($H3,sez!$A$2:$D$259,4))</f>
        <v>MS Brno</v>
      </c>
      <c r="K3" s="131">
        <f>'čt. Ž'!$B$10</f>
        <v>47</v>
      </c>
      <c r="L3" s="131" t="str">
        <f>IF($K3="","bye",VLOOKUP($K3,sez!$A$2:$D$259,2))</f>
        <v>Mazalová Kristýna</v>
      </c>
      <c r="M3" s="131" t="str">
        <f>IF($K3="","",VLOOKUP($K3,sez!$A$2:$D$259,4))</f>
        <v>KST Blansko</v>
      </c>
      <c r="N3" s="65" t="s">
        <v>90</v>
      </c>
      <c r="O3" s="66" t="s">
        <v>75</v>
      </c>
      <c r="P3" s="66" t="s">
        <v>79</v>
      </c>
      <c r="Q3" s="66" t="s">
        <v>77</v>
      </c>
      <c r="R3" s="67"/>
      <c r="S3" s="2">
        <f>COUNTIF(AB3:AF3,"&gt;0")</f>
        <v>1</v>
      </c>
      <c r="T3" s="2">
        <f>COUNTIF(AB3:AF3,"&lt;0")</f>
        <v>3</v>
      </c>
      <c r="U3" s="2">
        <f>IF(S3=T3,0,IF(S3&gt;T3,B3,H3))</f>
        <v>41</v>
      </c>
      <c r="V3" s="2" t="str">
        <f>IF($U3=0,"",VLOOKUP($U3,sez!$A$2:$D$259,2))</f>
        <v>Sobotíková Monika</v>
      </c>
      <c r="W3" s="2">
        <f>IF(S3=T3,0,IF(S3&gt;T3,E3,K3))</f>
        <v>47</v>
      </c>
      <c r="X3" s="2" t="str">
        <f>IF($W3=0,"",VLOOKUP($W3,sez!$A$2:$D$259,2))</f>
        <v>Mazalová Kristýna</v>
      </c>
      <c r="Y3" s="2" t="str">
        <f>IF(S3=T3,"",IF(S3&gt;T3,CONCATENATE(S3,":",T3," (",N3,",",O3,",",P3,IF(SUM(S3:T3)&gt;3,",",""),Q3,IF(SUM(S3:T3)&gt;4,",",""),R3,")"),CONCATENATE(T3,":",S3," (",-N3,",",-O3,",",-P3,IF(SUM(S3:T3)&gt;3,",",""),IF(SUM(S3:T3)&gt;3,-Q3,""),IF(SUM(S3:T3)&gt;4,",",""),IF(SUM(S3:T3)&gt;4,-R3,""),")")))</f>
        <v>3:1 (-10,9,7,8)</v>
      </c>
      <c r="Z3" s="2" t="str">
        <f>IF(MAX(S3:T3)=3,Y3,"")</f>
        <v>3:1 (-10,9,7,8)</v>
      </c>
      <c r="AB3" s="24">
        <f t="shared" si="0"/>
        <v>1</v>
      </c>
      <c r="AC3" s="24">
        <f t="shared" si="0"/>
        <v>-1</v>
      </c>
      <c r="AD3" s="24">
        <f t="shared" si="0"/>
        <v>-1</v>
      </c>
      <c r="AE3" s="24">
        <f t="shared" si="0"/>
        <v>-1</v>
      </c>
      <c r="AF3" s="24">
        <f t="shared" si="0"/>
        <v>0</v>
      </c>
    </row>
    <row r="4" spans="1:32" x14ac:dyDescent="0.2">
      <c r="A4" s="131" t="str">
        <f>CONCATENATE("Čtyřhra ",úvod!$C$8,"Ž - 1.kolo")</f>
        <v>Čtyřhra U19Ž - 1.kolo</v>
      </c>
      <c r="B4" s="131">
        <f>'čt. Ž'!$B$11</f>
        <v>45</v>
      </c>
      <c r="C4" s="131" t="str">
        <f>IF($B4=0,"bye",VLOOKUP($B4,sez!$A$2:$D$259,2))</f>
        <v>Dreits Anastasiia</v>
      </c>
      <c r="D4" s="131" t="str">
        <f>IF($B4=0,"",VLOOKUP($B4,sez!$A$2:$D$259,4))</f>
        <v>Tišnov</v>
      </c>
      <c r="E4" s="131">
        <f>'čt. Ž'!$B$12</f>
        <v>48</v>
      </c>
      <c r="F4" s="131" t="str">
        <f>IF($E4="","bye",VLOOKUP($E4,sez!$A$2:$D$259,2))</f>
        <v>Kotásková Kristýna</v>
      </c>
      <c r="G4" s="131" t="str">
        <f>IF($E4="","",VLOOKUP($E4,sez!$A$2:$D$259,4))</f>
        <v>TJ Mikulčice</v>
      </c>
      <c r="H4" s="131">
        <f>'čt. Ž'!$B$13</f>
        <v>0</v>
      </c>
      <c r="I4" s="131" t="str">
        <f>IF($H4=0,"bye",VLOOKUP($H4,sez!$A$2:$D$259,2))</f>
        <v>bye</v>
      </c>
      <c r="J4" s="131" t="str">
        <f>IF($H4=0,"",VLOOKUP($H4,sez!$A$2:$D$259,4))</f>
        <v/>
      </c>
      <c r="K4" s="131" t="str">
        <f>'čt. Ž'!$B$14</f>
        <v/>
      </c>
      <c r="L4" s="131" t="str">
        <f>IF($K4="","bye",VLOOKUP($K4,sez!$A$2:$D$259,2))</f>
        <v>bye</v>
      </c>
      <c r="M4" s="131" t="str">
        <f>IF($K4="","",VLOOKUP($K4,sez!$A$2:$D$259,4))</f>
        <v/>
      </c>
      <c r="N4" s="65" t="s">
        <v>89</v>
      </c>
      <c r="O4" s="66" t="s">
        <v>89</v>
      </c>
      <c r="P4" s="66" t="s">
        <v>89</v>
      </c>
      <c r="Q4" s="66"/>
      <c r="R4" s="67"/>
      <c r="S4" s="2">
        <f>COUNTIF(AB4:AF4,"&gt;0")</f>
        <v>3</v>
      </c>
      <c r="T4" s="2">
        <f>COUNTIF(AB4:AF4,"&lt;0")</f>
        <v>0</v>
      </c>
      <c r="U4" s="2">
        <f>IF(S4=T4,0,IF(S4&gt;T4,B4,H4))</f>
        <v>45</v>
      </c>
      <c r="V4" s="2" t="str">
        <f>IF($U4=0,"",VLOOKUP($U4,sez!$A$2:$D$259,2))</f>
        <v>Dreits Anastasiia</v>
      </c>
      <c r="W4" s="2">
        <f>IF(S4=T4,0,IF(S4&gt;T4,E4,K4))</f>
        <v>48</v>
      </c>
      <c r="X4" s="2" t="str">
        <f>IF($W4=0,"",VLOOKUP($W4,sez!$A$2:$D$259,2))</f>
        <v>Kotásková Kristýna</v>
      </c>
      <c r="Y4" s="2" t="str">
        <f>IF(S4=T4,"",IF(S4&gt;T4,CONCATENATE(S4,":",T4," (",N4,",",O4,",",P4,IF(SUM(S4:T4)&gt;3,",",""),Q4,IF(SUM(S4:T4)&gt;4,",",""),R4,")"),CONCATENATE(T4,":",S4," (",-N4,",",-O4,",",-P4,IF(SUM(S4:T4)&gt;3,",",""),IF(SUM(S4:T4)&gt;3,-Q4,""),IF(SUM(S4:T4)&gt;4,",",""),IF(SUM(S4:T4)&gt;4,-R4,""),")")))</f>
        <v>3:0 (0,0,0)</v>
      </c>
      <c r="Z4" s="2" t="str">
        <f>IF(MAX(S4:T4)=3,Y4,"")</f>
        <v>3:0 (0,0,0)</v>
      </c>
      <c r="AB4" s="24">
        <f t="shared" si="0"/>
        <v>1</v>
      </c>
      <c r="AC4" s="24">
        <f t="shared" si="0"/>
        <v>1</v>
      </c>
      <c r="AD4" s="24">
        <f t="shared" si="0"/>
        <v>1</v>
      </c>
      <c r="AE4" s="24">
        <f t="shared" si="0"/>
        <v>0</v>
      </c>
      <c r="AF4" s="24">
        <f t="shared" si="0"/>
        <v>0</v>
      </c>
    </row>
    <row r="5" spans="1:32" ht="13.5" thickBot="1" x14ac:dyDescent="0.25">
      <c r="A5" s="131" t="str">
        <f>CONCATENATE("Čtyřhra ",úvod!$C$8,"Ž - 1.kolo")</f>
        <v>Čtyřhra U19Ž - 1.kolo</v>
      </c>
      <c r="B5" s="131">
        <f>'čt. Ž'!$B$15</f>
        <v>0</v>
      </c>
      <c r="C5" s="131" t="str">
        <f>IF($B5=0,"bye",VLOOKUP($B5,sez!$A$2:$D$259,2))</f>
        <v>bye</v>
      </c>
      <c r="D5" s="131" t="str">
        <f>IF($B5=0,"",VLOOKUP($B5,sez!$A$2:$D$259,4))</f>
        <v/>
      </c>
      <c r="E5" s="131" t="str">
        <f>'čt. Ž'!$B$16</f>
        <v/>
      </c>
      <c r="F5" s="131" t="str">
        <f>IF($E5="","bye",VLOOKUP($E5,sez!$A$2:$D$259,2))</f>
        <v>bye</v>
      </c>
      <c r="G5" s="131" t="str">
        <f>IF($E5="","",VLOOKUP($E5,sez!$A$2:$D$259,4))</f>
        <v/>
      </c>
      <c r="H5" s="131">
        <f>'čt. Ž'!$B$17</f>
        <v>42</v>
      </c>
      <c r="I5" s="131" t="str">
        <f>IF($H5=0,"bye",VLOOKUP($H5,sez!$A$2:$D$259,2))</f>
        <v>Novohradská Karolína</v>
      </c>
      <c r="J5" s="131" t="str">
        <f>IF($H5=0,"",VLOOKUP($H5,sez!$A$2:$D$259,4))</f>
        <v>KST Blansko</v>
      </c>
      <c r="K5" s="131">
        <f>'čt. Ž'!$B$18</f>
        <v>46</v>
      </c>
      <c r="L5" s="131" t="str">
        <f>IF($K5="","bye",VLOOKUP($K5,sez!$A$2:$D$259,2))</f>
        <v>Masopustová Lucie</v>
      </c>
      <c r="M5" s="131" t="str">
        <f>IF($K5="","",VLOOKUP($K5,sez!$A$2:$D$259,4))</f>
        <v>MSK Břeclav</v>
      </c>
      <c r="N5" s="68" t="s">
        <v>84</v>
      </c>
      <c r="O5" s="69" t="s">
        <v>84</v>
      </c>
      <c r="P5" s="69" t="s">
        <v>84</v>
      </c>
      <c r="Q5" s="69"/>
      <c r="R5" s="70"/>
      <c r="S5" s="2">
        <f>COUNTIF(AB5:AF5,"&gt;0")</f>
        <v>0</v>
      </c>
      <c r="T5" s="2">
        <f>COUNTIF(AB5:AF5,"&lt;0")</f>
        <v>3</v>
      </c>
      <c r="U5" s="2">
        <f>IF(S5=T5,0,IF(S5&gt;T5,B5,H5))</f>
        <v>42</v>
      </c>
      <c r="V5" s="2" t="str">
        <f>IF($U5=0,"",VLOOKUP($U5,sez!$A$2:$D$259,2))</f>
        <v>Novohradská Karolína</v>
      </c>
      <c r="W5" s="2">
        <f>IF(S5=T5,0,IF(S5&gt;T5,E5,K5))</f>
        <v>46</v>
      </c>
      <c r="X5" s="2" t="str">
        <f>IF($W5=0,"",VLOOKUP($W5,sez!$A$2:$D$259,2))</f>
        <v>Masopustová Lucie</v>
      </c>
      <c r="Y5" s="2" t="str">
        <f>IF(S5=T5,"",IF(S5&gt;T5,CONCATENATE(S5,":",T5," (",N5,",",O5,",",P5,IF(SUM(S5:T5)&gt;3,",",""),Q5,IF(SUM(S5:T5)&gt;4,",",""),R5,")"),CONCATENATE(T5,":",S5," (",-N5,",",-O5,",",-P5,IF(SUM(S5:T5)&gt;3,",",""),IF(SUM(S5:T5)&gt;3,-Q5,""),IF(SUM(S5:T5)&gt;4,",",""),IF(SUM(S5:T5)&gt;4,-R5,""),")")))</f>
        <v>3:0 (0,0,0)</v>
      </c>
      <c r="Z5" s="2" t="str">
        <f>IF(MAX(S5:T5)=3,Y5,"")</f>
        <v>3:0 (0,0,0)</v>
      </c>
      <c r="AB5" s="24">
        <f t="shared" si="0"/>
        <v>-1</v>
      </c>
      <c r="AC5" s="24">
        <f t="shared" si="0"/>
        <v>-1</v>
      </c>
      <c r="AD5" s="24">
        <f t="shared" si="0"/>
        <v>-1</v>
      </c>
      <c r="AE5" s="24">
        <f t="shared" si="0"/>
        <v>0</v>
      </c>
      <c r="AF5" s="24">
        <f t="shared" si="0"/>
        <v>0</v>
      </c>
    </row>
    <row r="6" spans="1:32" ht="14.25" thickTop="1" thickBot="1" x14ac:dyDescent="0.25">
      <c r="C6" s="102"/>
      <c r="D6" s="102"/>
      <c r="E6" s="102"/>
      <c r="F6" s="102"/>
      <c r="G6" s="102"/>
      <c r="H6" s="102"/>
      <c r="I6" s="102"/>
      <c r="J6" s="102"/>
      <c r="K6" s="102"/>
      <c r="L6" s="102"/>
      <c r="N6" s="19"/>
      <c r="O6" s="19"/>
      <c r="P6" s="19"/>
      <c r="Q6" s="19"/>
      <c r="R6" s="19"/>
    </row>
    <row r="7" spans="1:32" ht="13.5" thickTop="1" x14ac:dyDescent="0.2">
      <c r="A7" s="2" t="str">
        <f>CONCATENATE("Čtyřhra ",úvod!$C$8,"Ž - semifinále")</f>
        <v>Čtyřhra U19Ž - semifinále</v>
      </c>
      <c r="B7" s="2">
        <f>U2</f>
        <v>44</v>
      </c>
      <c r="C7" s="102" t="str">
        <f>IF($B7=0,"",VLOOKUP($B7,sez!$A$2:$D$259,2))</f>
        <v>Novotná Eliška</v>
      </c>
      <c r="D7" s="102" t="str">
        <f>IF($B7=0,"",VLOOKUP($B7,sez!$A$2:$D$259,4))</f>
        <v>SKST Hodonín</v>
      </c>
      <c r="E7" s="102">
        <f>W2</f>
        <v>43</v>
      </c>
      <c r="F7" s="102" t="str">
        <f>IF($E7=0,"",VLOOKUP($E7,sez!$A$2:$D$259,2))</f>
        <v>Holubová Simona</v>
      </c>
      <c r="G7" s="102" t="str">
        <f>IF($E7=0,"",VLOOKUP($E7,sez!$A$2:$D$259,4))</f>
        <v>SKST Hodonín</v>
      </c>
      <c r="H7" s="102">
        <f>U3</f>
        <v>41</v>
      </c>
      <c r="I7" s="102" t="str">
        <f>IF($H7=0,"",VLOOKUP($H7,sez!$A$2:$D$259,2))</f>
        <v>Sobotíková Monika</v>
      </c>
      <c r="J7" s="102" t="str">
        <f>IF($H7=0,"",VLOOKUP($H7,sez!$A$2:$D$259,4))</f>
        <v>MS Brno</v>
      </c>
      <c r="K7" s="102">
        <f>W3</f>
        <v>47</v>
      </c>
      <c r="L7" s="102" t="str">
        <f>IF($K7=0,"",VLOOKUP($K7,sez!$A$2:$D$259,2))</f>
        <v>Mazalová Kristýna</v>
      </c>
      <c r="M7" s="2" t="str">
        <f>IF($K7=0,"",VLOOKUP($K7,sez!$A$2:$D$259,4))</f>
        <v>KST Blansko</v>
      </c>
      <c r="N7" s="62" t="s">
        <v>79</v>
      </c>
      <c r="O7" s="63" t="s">
        <v>88</v>
      </c>
      <c r="P7" s="63" t="s">
        <v>81</v>
      </c>
      <c r="Q7" s="63" t="s">
        <v>77</v>
      </c>
      <c r="R7" s="64"/>
      <c r="S7" s="2">
        <f>COUNTIF(AB7:AF7,"&gt;0")</f>
        <v>1</v>
      </c>
      <c r="T7" s="2">
        <f>COUNTIF(AB7:AF7,"&lt;0")</f>
        <v>3</v>
      </c>
      <c r="U7" s="2">
        <f>IF(S7=T7,0,IF(S7&gt;T7,B7,H7))</f>
        <v>41</v>
      </c>
      <c r="V7" s="2" t="str">
        <f>IF($U7=0,"",VLOOKUP($U7,sez!$A$2:$D$259,2))</f>
        <v>Sobotíková Monika</v>
      </c>
      <c r="W7" s="2">
        <f>IF(S7=T7,0,IF(S7&gt;T7,E7,K7))</f>
        <v>47</v>
      </c>
      <c r="X7" s="2" t="str">
        <f>IF($W7=0,"",VLOOKUP($W7,sez!$A$2:$D$259,2))</f>
        <v>Mazalová Kristýna</v>
      </c>
      <c r="Y7" s="2" t="str">
        <f>IF(S7=T7,"",IF(S7&gt;T7,CONCATENATE(S7,":",T7," (",N7,",",O7,",",P7,IF(SUM(S7:T7)&gt;3,",",""),Q7,IF(SUM(S7:T7)&gt;4,",",""),R7,")"),CONCATENATE(T7,":",S7," (",-N7,",",-O7,",",-P7,IF(SUM(S7:T7)&gt;3,",",""),IF(SUM(S7:T7)&gt;3,-Q7,""),IF(SUM(S7:T7)&gt;4,",",""),IF(SUM(S7:T7)&gt;4,-R7,""),")")))</f>
        <v>3:1 (7,-11,6,8)</v>
      </c>
      <c r="Z7" s="2" t="str">
        <f>IF(MAX(S7:T7)=3,Y7,"")</f>
        <v>3:1 (7,-11,6,8)</v>
      </c>
      <c r="AB7" s="24">
        <f t="shared" ref="AB7:AF8" si="1">IF(N7="",0,IF(MID(N7,1,1)="-",-1,1))</f>
        <v>-1</v>
      </c>
      <c r="AC7" s="24">
        <f t="shared" si="1"/>
        <v>1</v>
      </c>
      <c r="AD7" s="24">
        <f t="shared" si="1"/>
        <v>-1</v>
      </c>
      <c r="AE7" s="24">
        <f t="shared" si="1"/>
        <v>-1</v>
      </c>
      <c r="AF7" s="24">
        <f t="shared" si="1"/>
        <v>0</v>
      </c>
    </row>
    <row r="8" spans="1:32" ht="13.5" thickBot="1" x14ac:dyDescent="0.25">
      <c r="A8" s="2" t="str">
        <f>CONCATENATE("Čtyřhra ",úvod!$C$8,"Ž - semifinále")</f>
        <v>Čtyřhra U19Ž - semifinále</v>
      </c>
      <c r="B8" s="2">
        <f>U4</f>
        <v>45</v>
      </c>
      <c r="C8" s="102" t="str">
        <f>IF($B8=0,"",VLOOKUP($B8,sez!$A$2:$D$259,2))</f>
        <v>Dreits Anastasiia</v>
      </c>
      <c r="D8" s="102" t="str">
        <f>IF($B8=0,"",VLOOKUP($B8,sez!$A$2:$D$259,4))</f>
        <v>Tišnov</v>
      </c>
      <c r="E8" s="102">
        <f>W4</f>
        <v>48</v>
      </c>
      <c r="F8" s="102" t="str">
        <f>IF($E8=0,"",VLOOKUP($E8,sez!$A$2:$D$259,2))</f>
        <v>Kotásková Kristýna</v>
      </c>
      <c r="G8" s="102" t="str">
        <f>IF($E8=0,"",VLOOKUP($E8,sez!$A$2:$D$259,4))</f>
        <v>TJ Mikulčice</v>
      </c>
      <c r="H8" s="102">
        <f>U5</f>
        <v>42</v>
      </c>
      <c r="I8" s="102" t="str">
        <f>IF($H8=0,"",VLOOKUP($H8,sez!$A$2:$D$259,2))</f>
        <v>Novohradská Karolína</v>
      </c>
      <c r="J8" s="102" t="str">
        <f>IF($H8=0,"",VLOOKUP($H8,sez!$A$2:$D$259,4))</f>
        <v>KST Blansko</v>
      </c>
      <c r="K8" s="102">
        <f>W5</f>
        <v>46</v>
      </c>
      <c r="L8" s="102" t="str">
        <f>IF($K8=0,"",VLOOKUP($K8,sez!$A$2:$D$259,2))</f>
        <v>Masopustová Lucie</v>
      </c>
      <c r="M8" s="2" t="str">
        <f>IF($K8=0,"",VLOOKUP($K8,sez!$A$2:$D$259,4))</f>
        <v>MSK Břeclav</v>
      </c>
      <c r="N8" s="68" t="s">
        <v>79</v>
      </c>
      <c r="O8" s="69" t="s">
        <v>76</v>
      </c>
      <c r="P8" s="69" t="s">
        <v>70</v>
      </c>
      <c r="Q8" s="69" t="s">
        <v>92</v>
      </c>
      <c r="R8" s="70"/>
      <c r="S8" s="2">
        <f>COUNTIF(AB8:AF8,"&gt;0")</f>
        <v>1</v>
      </c>
      <c r="T8" s="2">
        <f>COUNTIF(AB8:AF8,"&lt;0")</f>
        <v>3</v>
      </c>
      <c r="U8" s="2">
        <f>IF(S8=T8,0,IF(S8&gt;T8,B8,H8))</f>
        <v>42</v>
      </c>
      <c r="V8" s="2" t="str">
        <f>IF($U8=0,"",VLOOKUP($U8,sez!$A$2:$D$259,2))</f>
        <v>Novohradská Karolína</v>
      </c>
      <c r="W8" s="2">
        <f>IF(S8=T8,0,IF(S8&gt;T8,E8,K8))</f>
        <v>46</v>
      </c>
      <c r="X8" s="2" t="str">
        <f>IF($W8=0,"",VLOOKUP($W8,sez!$A$2:$D$259,2))</f>
        <v>Masopustová Lucie</v>
      </c>
      <c r="Y8" s="2" t="str">
        <f>IF(S8=T8,"",IF(S8&gt;T8,CONCATENATE(S8,":",T8," (",N8,",",O8,",",P8,IF(SUM(S8:T8)&gt;3,",",""),Q8,IF(SUM(S8:T8)&gt;4,",",""),R8,")"),CONCATENATE(T8,":",S8," (",-N8,",",-O8,",",-P8,IF(SUM(S8:T8)&gt;3,",",""),IF(SUM(S8:T8)&gt;3,-Q8,""),IF(SUM(S8:T8)&gt;4,",",""),IF(SUM(S8:T8)&gt;4,-R8,""),")")))</f>
        <v>3:1 (7,10,-5,1)</v>
      </c>
      <c r="Z8" s="2" t="str">
        <f>IF(MAX(S8:T8)=3,Y8,"")</f>
        <v>3:1 (7,10,-5,1)</v>
      </c>
      <c r="AB8" s="24">
        <f t="shared" si="1"/>
        <v>-1</v>
      </c>
      <c r="AC8" s="24">
        <f t="shared" si="1"/>
        <v>-1</v>
      </c>
      <c r="AD8" s="24">
        <f t="shared" si="1"/>
        <v>1</v>
      </c>
      <c r="AE8" s="24">
        <f t="shared" si="1"/>
        <v>-1</v>
      </c>
      <c r="AF8" s="24">
        <f t="shared" si="1"/>
        <v>0</v>
      </c>
    </row>
    <row r="9" spans="1:32" ht="14.25" thickTop="1" thickBot="1" x14ac:dyDescent="0.25">
      <c r="C9" s="102"/>
      <c r="D9" s="102"/>
      <c r="E9" s="102"/>
      <c r="F9" s="102"/>
      <c r="G9" s="102"/>
      <c r="H9" s="102"/>
      <c r="I9" s="102"/>
      <c r="J9" s="102"/>
      <c r="K9" s="102"/>
      <c r="L9" s="102"/>
      <c r="N9" s="19"/>
      <c r="O9" s="19"/>
      <c r="P9" s="19"/>
      <c r="Q9" s="19"/>
      <c r="R9" s="19"/>
    </row>
    <row r="10" spans="1:32" ht="14.25" thickTop="1" thickBot="1" x14ac:dyDescent="0.25">
      <c r="A10" s="2" t="str">
        <f>CONCATENATE("Čtyřhra ",úvod!$C$8,"Ž - finále")</f>
        <v>Čtyřhra U19Ž - finále</v>
      </c>
      <c r="B10" s="2">
        <f>U7</f>
        <v>41</v>
      </c>
      <c r="C10" s="102" t="str">
        <f>IF($B10=0,"",VLOOKUP($B10,sez!$A$2:$D$259,2))</f>
        <v>Sobotíková Monika</v>
      </c>
      <c r="D10" s="102" t="str">
        <f>IF($B10=0,"",VLOOKUP($B10,sez!$A$2:$D$259,4))</f>
        <v>MS Brno</v>
      </c>
      <c r="E10" s="102">
        <f>W7</f>
        <v>47</v>
      </c>
      <c r="F10" s="102" t="str">
        <f>IF($E10=0,"",VLOOKUP($E10,sez!$A$2:$D$259,2))</f>
        <v>Mazalová Kristýna</v>
      </c>
      <c r="G10" s="102" t="str">
        <f>IF($E10=0,"",VLOOKUP($E10,sez!$A$2:$D$259,4))</f>
        <v>KST Blansko</v>
      </c>
      <c r="H10" s="102">
        <f>U8</f>
        <v>42</v>
      </c>
      <c r="I10" s="102" t="str">
        <f>IF($H10=0,"",VLOOKUP($H10,sez!$A$2:$D$259,2))</f>
        <v>Novohradská Karolína</v>
      </c>
      <c r="J10" s="102" t="str">
        <f>IF($H10=0,"",VLOOKUP($H10,sez!$A$2:$D$259,4))</f>
        <v>KST Blansko</v>
      </c>
      <c r="K10" s="102">
        <f>W8</f>
        <v>46</v>
      </c>
      <c r="L10" s="102" t="str">
        <f>IF($K10=0,"",VLOOKUP($K10,sez!$A$2:$D$259,2))</f>
        <v>Masopustová Lucie</v>
      </c>
      <c r="M10" s="2" t="str">
        <f>IF($K10=0,"",VLOOKUP($K10,sez!$A$2:$D$259,4))</f>
        <v>MSK Břeclav</v>
      </c>
      <c r="N10" s="71" t="s">
        <v>75</v>
      </c>
      <c r="O10" s="72" t="s">
        <v>71</v>
      </c>
      <c r="P10" s="72" t="s">
        <v>79</v>
      </c>
      <c r="Q10" s="72" t="s">
        <v>83</v>
      </c>
      <c r="R10" s="73" t="s">
        <v>75</v>
      </c>
      <c r="S10" s="2">
        <f>COUNTIF(AB10:AF10,"&gt;0")</f>
        <v>2</v>
      </c>
      <c r="T10" s="2">
        <f>COUNTIF(AB10:AF10,"&lt;0")</f>
        <v>3</v>
      </c>
      <c r="U10" s="2">
        <f>IF(S10=T10,0,IF(S10&gt;T10,B10,H10))</f>
        <v>42</v>
      </c>
      <c r="V10" s="2" t="str">
        <f>IF($U10=0,"",VLOOKUP($U10,sez!$A$2:$D$259,2))</f>
        <v>Novohradská Karolína</v>
      </c>
      <c r="W10" s="2">
        <f>IF(S10=T10,0,IF(S10&gt;T10,E10,K10))</f>
        <v>46</v>
      </c>
      <c r="X10" s="2" t="str">
        <f>IF($W10=0,"",VLOOKUP($W10,sez!$A$2:$D$259,2))</f>
        <v>Masopustová Lucie</v>
      </c>
      <c r="Y10" s="2" t="str">
        <f>IF(S10=T10,"",IF(S10&gt;T10,CONCATENATE(S10,":",T10," (",N10,",",O10,",",P10,IF(SUM(S10:T10)&gt;3,",",""),Q10,IF(SUM(S10:T10)&gt;4,",",""),R10,")"),CONCATENATE(T10,":",S10," (",-N10,",",-O10,",",-P10,IF(SUM(S10:T10)&gt;3,",",""),IF(SUM(S10:T10)&gt;3,-Q10,""),IF(SUM(S10:T10)&gt;4,",",""),IF(SUM(S10:T10)&gt;4,-R10,""),")")))</f>
        <v>3:2 (9,-9,7,-6,9)</v>
      </c>
      <c r="Z10" s="2" t="str">
        <f>IF(MAX(S10:T10)=3,Y10,"")</f>
        <v>3:2 (9,-9,7,-6,9)</v>
      </c>
      <c r="AB10" s="24">
        <f>IF(N10="",0,IF(MID(N10,1,1)="-",-1,1))</f>
        <v>-1</v>
      </c>
      <c r="AC10" s="24">
        <f>IF(O10="",0,IF(MID(O10,1,1)="-",-1,1))</f>
        <v>1</v>
      </c>
      <c r="AD10" s="24">
        <f>IF(P10="",0,IF(MID(P10,1,1)="-",-1,1))</f>
        <v>-1</v>
      </c>
      <c r="AE10" s="24">
        <f>IF(Q10="",0,IF(MID(Q10,1,1)="-",-1,1))</f>
        <v>1</v>
      </c>
      <c r="AF10" s="24">
        <f>IF(R10="",0,IF(MID(R10,1,1)="-",-1,1))</f>
        <v>-1</v>
      </c>
    </row>
    <row r="11" spans="1:32" ht="13.5" thickTop="1" x14ac:dyDescent="0.2">
      <c r="C11" s="102"/>
      <c r="D11" s="102"/>
      <c r="E11" s="102"/>
      <c r="F11" s="102"/>
      <c r="G11" s="102"/>
      <c r="H11" s="102"/>
      <c r="I11" s="102"/>
      <c r="J11" s="102"/>
      <c r="K11" s="102"/>
      <c r="L11" s="102"/>
    </row>
    <row r="12" spans="1:32" x14ac:dyDescent="0.2">
      <c r="C12" s="102"/>
      <c r="D12" s="102"/>
      <c r="E12" s="102"/>
      <c r="F12" s="102"/>
      <c r="G12" s="102"/>
      <c r="H12" s="102"/>
      <c r="I12" s="102"/>
      <c r="J12" s="102"/>
      <c r="K12" s="102"/>
      <c r="L12" s="102"/>
    </row>
    <row r="13" spans="1:32" x14ac:dyDescent="0.2">
      <c r="C13" s="102"/>
      <c r="D13" s="102"/>
      <c r="E13" s="102"/>
      <c r="F13" s="102"/>
      <c r="G13" s="102"/>
      <c r="H13" s="102"/>
      <c r="I13" s="102"/>
      <c r="J13" s="102"/>
      <c r="K13" s="102"/>
      <c r="L13" s="10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7"/>
  <sheetViews>
    <sheetView tabSelected="1" view="pageBreakPreview" zoomScaleNormal="100" zoomScaleSheetLayoutView="100" workbookViewId="0">
      <selection activeCell="K25" sqref="K25"/>
    </sheetView>
  </sheetViews>
  <sheetFormatPr defaultRowHeight="12.75" x14ac:dyDescent="0.2"/>
  <cols>
    <col min="1" max="1" width="3.5703125" style="2" bestFit="1" customWidth="1"/>
    <col min="2" max="2" width="4.140625" style="2" customWidth="1"/>
    <col min="3" max="3" width="32" style="2" customWidth="1"/>
    <col min="4" max="4" width="0.85546875" style="2" customWidth="1"/>
    <col min="5" max="6" width="18.28515625" style="2" bestFit="1" customWidth="1"/>
    <col min="7" max="7" width="19.140625" style="2" bestFit="1" customWidth="1"/>
    <col min="8" max="8" width="19.28515625" style="2" customWidth="1"/>
    <col min="9" max="16384" width="9.140625" style="2"/>
  </cols>
  <sheetData>
    <row r="1" spans="1:8" ht="27" customHeight="1" x14ac:dyDescent="0.35">
      <c r="B1" s="3" t="str">
        <f>'2.st. M'!B1</f>
        <v>Krajské přebory</v>
      </c>
      <c r="H1" s="82"/>
    </row>
    <row r="2" spans="1:8" ht="21" customHeight="1" x14ac:dyDescent="0.3">
      <c r="B2" s="4"/>
      <c r="H2" s="20" t="str">
        <f>CONCATENATE("Čtyřhra ",úvod!C8,"M")</f>
        <v>Čtyřhra U19M</v>
      </c>
    </row>
    <row r="3" spans="1:8" ht="13.5" x14ac:dyDescent="0.25">
      <c r="B3" s="100">
        <v>2</v>
      </c>
      <c r="C3" s="2" t="str">
        <f>IF($B3="","",CONCATENATE(VLOOKUP($B3,sez!$A$2:$B$259,2)," (",VLOOKUP($B3,sez!$A$2:$E$259,4),")"))</f>
        <v>Nespěšný Hynek (MS Brno)</v>
      </c>
      <c r="D3" s="4"/>
      <c r="H3" s="15"/>
    </row>
    <row r="4" spans="1:8" x14ac:dyDescent="0.2">
      <c r="A4" s="2">
        <v>1</v>
      </c>
      <c r="B4" s="5">
        <f>IF(B3="","",VLOOKUP(B3,debl!$B$1:$C$46,2,FALSE))</f>
        <v>5</v>
      </c>
      <c r="C4" s="5" t="str">
        <f>IF($B4="","bye",CONCATENATE(VLOOKUP($B4,sez!$A$2:$B$259,2)," (",VLOOKUP($B4,sez!$A$2:$E$259,4),")"))</f>
        <v>Drápal Metoděj (MS Brno)</v>
      </c>
      <c r="E4" s="2" t="str">
        <f>'výs čt. M'!V2</f>
        <v>Nespěšný Hynek</v>
      </c>
    </row>
    <row r="5" spans="1:8" x14ac:dyDescent="0.2">
      <c r="B5" s="100"/>
      <c r="C5" s="2" t="str">
        <f>IF($B5="","",CONCATENATE(VLOOKUP($B5,sez!$A$2:$B$259,2)," (",VLOOKUP($B5,sez!$A$2:$E$259,4),")"))</f>
        <v/>
      </c>
      <c r="D5" s="13"/>
      <c r="E5" s="5" t="str">
        <f>'výs čt. M'!X2</f>
        <v>Drápal Metoděj</v>
      </c>
    </row>
    <row r="6" spans="1:8" x14ac:dyDescent="0.2">
      <c r="A6" s="2">
        <v>2</v>
      </c>
      <c r="B6" s="5" t="str">
        <f>IF(B5="","",VLOOKUP(B5,debl!$B$1:$C$46,2,FALSE))</f>
        <v/>
      </c>
      <c r="C6" s="5" t="str">
        <f>IF($B6="","bye",CONCATENATE(VLOOKUP($B6,sez!$A$2:$B$259,2)," (",VLOOKUP($B6,sez!$A$2:$E$259,4),")"))</f>
        <v>bye</v>
      </c>
      <c r="D6" s="14"/>
      <c r="E6" s="6" t="str">
        <f>'výs čt. M'!Z2</f>
        <v>3:0 (0,0,0)</v>
      </c>
      <c r="F6" s="2" t="str">
        <f>'výs čt. M'!V11</f>
        <v>Nespěšný Hynek</v>
      </c>
    </row>
    <row r="7" spans="1:8" x14ac:dyDescent="0.2">
      <c r="B7" s="100">
        <v>22</v>
      </c>
      <c r="C7" s="2" t="str">
        <f>IF($B7="","",CONCATENATE(VLOOKUP($B7,sez!$A$2:$B$259,2)," (",VLOOKUP($B7,sez!$A$2:$E$259,4),")"))</f>
        <v>Lysoněk Filip (Velké Opatovice)</v>
      </c>
      <c r="D7" s="15"/>
      <c r="E7" s="8"/>
      <c r="F7" s="9" t="str">
        <f>'výs čt. M'!X11</f>
        <v>Drápal Metoděj</v>
      </c>
    </row>
    <row r="8" spans="1:8" x14ac:dyDescent="0.2">
      <c r="A8" s="2">
        <v>3</v>
      </c>
      <c r="B8" s="5">
        <f>IF(B7="","",VLOOKUP(B7,debl!$B$1:$C$46,2,FALSE))</f>
        <v>20</v>
      </c>
      <c r="C8" s="5" t="str">
        <f>IF($B8="","bye",CONCATENATE(VLOOKUP($B8,sez!$A$2:$B$259,2)," (",VLOOKUP($B8,sez!$A$2:$E$259,4),")"))</f>
        <v>Ševčík Ondřej (Velké Opatovice)</v>
      </c>
      <c r="D8" s="12"/>
      <c r="E8" s="8" t="str">
        <f>'výs čt. M'!V3</f>
        <v>Krejčí David</v>
      </c>
      <c r="F8" s="6" t="str">
        <f>'výs čt. M'!Z11</f>
        <v>3:0 (5,7,3)</v>
      </c>
    </row>
    <row r="9" spans="1:8" x14ac:dyDescent="0.2">
      <c r="B9" s="100">
        <v>11</v>
      </c>
      <c r="C9" s="2" t="str">
        <f>IF($B9="","",CONCATENATE(VLOOKUP($B9,sez!$A$2:$B$259,2)," (",VLOOKUP($B9,sez!$A$2:$E$259,4),")"))</f>
        <v>Krejčí David (MS Brno)</v>
      </c>
      <c r="D9" s="13"/>
      <c r="E9" s="7" t="str">
        <f>'výs čt. M'!X3</f>
        <v>Pluháček Adam</v>
      </c>
      <c r="F9" s="8"/>
    </row>
    <row r="10" spans="1:8" x14ac:dyDescent="0.2">
      <c r="A10" s="2">
        <v>4</v>
      </c>
      <c r="B10" s="5">
        <v>23</v>
      </c>
      <c r="C10" s="5" t="str">
        <f>IF($B10="","bye",CONCATENATE(VLOOKUP($B10,sez!$A$2:$B$259,2)," (",VLOOKUP($B10,sez!$A$2:$E$259,4),")"))</f>
        <v>Pluháček Adam (Sokol Brno I)</v>
      </c>
      <c r="D10" s="14"/>
      <c r="E10" s="2" t="str">
        <f>'výs čt. M'!Z3</f>
        <v>3:0 (6,8,7)</v>
      </c>
      <c r="F10" s="8"/>
      <c r="G10" s="2" t="str">
        <f>'výs čt. M'!V16</f>
        <v>Nespěšný Hynek</v>
      </c>
    </row>
    <row r="11" spans="1:8" x14ac:dyDescent="0.2">
      <c r="B11" s="100">
        <v>19</v>
      </c>
      <c r="C11" s="2" t="str">
        <f>IF($B11="","",CONCATENATE(VLOOKUP($B11,sez!$A$2:$B$259,2)," (",VLOOKUP($B11,sez!$A$2:$E$259,4),")"))</f>
        <v>Chromník Martin (STP Mikulov)</v>
      </c>
      <c r="D11" s="15"/>
      <c r="F11" s="8"/>
      <c r="G11" s="9" t="str">
        <f>'výs čt. M'!X16</f>
        <v>Drápal Metoděj</v>
      </c>
    </row>
    <row r="12" spans="1:8" x14ac:dyDescent="0.2">
      <c r="A12" s="2">
        <v>5</v>
      </c>
      <c r="B12" s="5">
        <f>IF(B11="","",VLOOKUP(B11,debl!$B$1:$C$46,2,FALSE))</f>
        <v>7</v>
      </c>
      <c r="C12" s="5" t="str">
        <f>IF($B12="","bye",CONCATENATE(VLOOKUP($B12,sez!$A$2:$B$259,2)," (",VLOOKUP($B12,sez!$A$2:$E$259,4),")"))</f>
        <v>Němeček Radek (MSK Břeclav)</v>
      </c>
      <c r="D12" s="12"/>
      <c r="E12" s="2" t="str">
        <f>'výs čt. M'!V4</f>
        <v>Chromník Martin</v>
      </c>
      <c r="F12" s="8"/>
      <c r="G12" s="6" t="str">
        <f>'výs čt. M'!Z16</f>
        <v>3:0 (9,7,5)</v>
      </c>
    </row>
    <row r="13" spans="1:8" x14ac:dyDescent="0.2">
      <c r="B13" s="100"/>
      <c r="C13" s="2" t="str">
        <f>IF($B13="","",CONCATENATE(VLOOKUP($B13,sez!$A$2:$B$259,2)," (",VLOOKUP($B13,sez!$A$2:$E$259,4),")"))</f>
        <v/>
      </c>
      <c r="D13" s="13"/>
      <c r="E13" s="5" t="str">
        <f>'výs čt. M'!X4</f>
        <v>Němeček Radek</v>
      </c>
      <c r="F13" s="8"/>
      <c r="G13" s="8"/>
    </row>
    <row r="14" spans="1:8" x14ac:dyDescent="0.2">
      <c r="A14" s="2">
        <v>6</v>
      </c>
      <c r="B14" s="5" t="str">
        <f>IF(B13="","",VLOOKUP(B13,debl!$B$1:$C$46,2,FALSE))</f>
        <v/>
      </c>
      <c r="C14" s="5" t="str">
        <f>IF($B14="","bye",CONCATENATE(VLOOKUP($B14,sez!$A$2:$B$259,2)," (",VLOOKUP($B14,sez!$A$2:$E$259,4),")"))</f>
        <v>bye</v>
      </c>
      <c r="D14" s="14"/>
      <c r="E14" s="6" t="str">
        <f>'výs čt. M'!Z4</f>
        <v>3:0 (0,0,0)</v>
      </c>
      <c r="F14" s="8" t="str">
        <f>'výs čt. M'!V12</f>
        <v>Vincenec Oliver</v>
      </c>
      <c r="G14" s="8"/>
    </row>
    <row r="15" spans="1:8" x14ac:dyDescent="0.2">
      <c r="B15" s="100"/>
      <c r="C15" s="2" t="str">
        <f>IF($B15="","",CONCATENATE(VLOOKUP($B15,sez!$A$2:$B$259,2)," (",VLOOKUP($B15,sez!$A$2:$E$259,4),")"))</f>
        <v/>
      </c>
      <c r="D15" s="15"/>
      <c r="E15" s="8"/>
      <c r="F15" s="10" t="str">
        <f>'výs čt. M'!X12</f>
        <v>Luska Petr</v>
      </c>
      <c r="G15" s="8"/>
    </row>
    <row r="16" spans="1:8" x14ac:dyDescent="0.2">
      <c r="A16" s="2">
        <v>7</v>
      </c>
      <c r="B16" s="5" t="str">
        <f>IF(B15="","",VLOOKUP(B15,debl!$B$1:$C$46,2,FALSE))</f>
        <v/>
      </c>
      <c r="C16" s="5" t="str">
        <f>IF($B16="","bye",CONCATENATE(VLOOKUP($B16,sez!$A$2:$B$259,2)," (",VLOOKUP($B16,sez!$A$2:$E$259,4),")"))</f>
        <v>bye</v>
      </c>
      <c r="D16" s="12"/>
      <c r="E16" s="8" t="str">
        <f>'výs čt. M'!V5</f>
        <v>Vincenec Oliver</v>
      </c>
      <c r="F16" s="2" t="str">
        <f>'výs čt. M'!Z12</f>
        <v>3:1 (12,7,-7,7)</v>
      </c>
      <c r="G16" s="8"/>
    </row>
    <row r="17" spans="1:8" x14ac:dyDescent="0.2">
      <c r="B17" s="100">
        <v>10</v>
      </c>
      <c r="C17" s="2" t="str">
        <f>IF($B17="","",CONCATENATE(VLOOKUP($B17,sez!$A$2:$B$259,2)," (",VLOOKUP($B17,sez!$A$2:$E$259,4),")"))</f>
        <v>Vincenec Oliver (KST Vyškov)</v>
      </c>
      <c r="D17" s="13"/>
      <c r="E17" s="7" t="str">
        <f>'výs čt. M'!X5</f>
        <v>Luska Petr</v>
      </c>
      <c r="G17" s="8"/>
    </row>
    <row r="18" spans="1:8" x14ac:dyDescent="0.2">
      <c r="A18" s="2">
        <v>8</v>
      </c>
      <c r="B18" s="5">
        <v>4</v>
      </c>
      <c r="C18" s="5" t="str">
        <f>IF($B18="","bye",CONCATENATE(VLOOKUP($B18,sez!$A$2:$B$259,2)," (",VLOOKUP($B18,sez!$A$2:$E$259,4),")"))</f>
        <v>Luska Petr (KST Vyškov)</v>
      </c>
      <c r="D18" s="14"/>
      <c r="E18" s="2" t="str">
        <f>'výs čt. M'!Z5</f>
        <v>3:0 (0,0,0)</v>
      </c>
      <c r="G18" s="8"/>
      <c r="H18" s="1" t="str">
        <f>'výs čt. M'!V19</f>
        <v>Krištof Lukáš</v>
      </c>
    </row>
    <row r="19" spans="1:8" x14ac:dyDescent="0.2">
      <c r="B19" s="100">
        <v>8</v>
      </c>
      <c r="C19" s="2" t="str">
        <f>IF($B19="","",CONCATENATE(VLOOKUP($B19,sez!$A$2:$B$259,2)," (",VLOOKUP($B19,sez!$A$2:$E$259,4),")"))</f>
        <v>Pokorný Martin (KST Blansko)</v>
      </c>
      <c r="D19" s="15"/>
      <c r="G19" s="8"/>
      <c r="H19" s="21" t="str">
        <f>'výs čt. M'!X19</f>
        <v>Pařízek Richard</v>
      </c>
    </row>
    <row r="20" spans="1:8" x14ac:dyDescent="0.2">
      <c r="A20" s="2">
        <v>9</v>
      </c>
      <c r="B20" s="5">
        <v>9</v>
      </c>
      <c r="C20" s="5" t="str">
        <f>IF($B20="","bye",CONCATENATE(VLOOKUP($B20,sez!$A$2:$B$259,2)," (",VLOOKUP($B20,sez!$A$2:$E$259,4),")"))</f>
        <v>Štěpánek Ondřej (KST Blansko)</v>
      </c>
      <c r="D20" s="12"/>
      <c r="E20" s="2" t="str">
        <f>'výs čt. M'!V6</f>
        <v>Pokorný Martin</v>
      </c>
      <c r="G20" s="8"/>
      <c r="H20" s="74" t="str">
        <f>'výs čt. M'!Z19</f>
        <v>3:2 (-7,8,-9,9,7)</v>
      </c>
    </row>
    <row r="21" spans="1:8" x14ac:dyDescent="0.2">
      <c r="B21" s="100"/>
      <c r="C21" s="2" t="str">
        <f>IF($B21="","",CONCATENATE(VLOOKUP($B21,sez!$A$2:$B$259,2)," (",VLOOKUP($B21,sez!$A$2:$E$259,4),")"))</f>
        <v/>
      </c>
      <c r="D21" s="13"/>
      <c r="E21" s="5" t="str">
        <f>'výs čt. M'!X6</f>
        <v>Štěpánek Ondřej</v>
      </c>
      <c r="G21" s="8"/>
      <c r="H21" s="191"/>
    </row>
    <row r="22" spans="1:8" x14ac:dyDescent="0.2">
      <c r="A22" s="2">
        <v>10</v>
      </c>
      <c r="B22" s="5" t="str">
        <f>IF(B21="","",VLOOKUP(B21,debl!$B$1:$C$46,2,FALSE))</f>
        <v/>
      </c>
      <c r="C22" s="5" t="str">
        <f>IF($B22="","bye",CONCATENATE(VLOOKUP($B22,sez!$A$2:$B$259,2)," (",VLOOKUP($B22,sez!$A$2:$E$259,4),")"))</f>
        <v>bye</v>
      </c>
      <c r="D22" s="14"/>
      <c r="E22" s="6" t="str">
        <f>'výs čt. M'!Z6</f>
        <v>3:0 (0,0,0)</v>
      </c>
      <c r="F22" s="2" t="str">
        <f>'výs čt. M'!V13</f>
        <v>Pokorný Martin</v>
      </c>
      <c r="G22" s="8"/>
      <c r="H22" s="191"/>
    </row>
    <row r="23" spans="1:8" x14ac:dyDescent="0.2">
      <c r="B23" s="100"/>
      <c r="C23" s="2" t="str">
        <f>IF($B23="","",CONCATENATE(VLOOKUP($B23,sez!$A$2:$B$259,2)," (",VLOOKUP($B23,sez!$A$2:$E$259,4),")"))</f>
        <v/>
      </c>
      <c r="D23" s="15"/>
      <c r="E23" s="8"/>
      <c r="F23" s="9" t="str">
        <f>'výs čt. M'!X13</f>
        <v>Štěpánek Ondřej</v>
      </c>
      <c r="G23" s="8"/>
      <c r="H23" s="191"/>
    </row>
    <row r="24" spans="1:8" x14ac:dyDescent="0.2">
      <c r="A24" s="2">
        <v>11</v>
      </c>
      <c r="B24" s="5" t="str">
        <f>IF(B23="","",VLOOKUP(B23,debl!$B$1:$C$46,2,FALSE))</f>
        <v/>
      </c>
      <c r="C24" s="5" t="str">
        <f>IF($B24="","bye",CONCATENATE(VLOOKUP($B24,sez!$A$2:$B$259,2)," (",VLOOKUP($B24,sez!$A$2:$E$259,4),")"))</f>
        <v>bye</v>
      </c>
      <c r="D24" s="12"/>
      <c r="E24" s="8" t="str">
        <f>'výs čt. M'!V7</f>
        <v>Horníček Lukáš</v>
      </c>
      <c r="F24" s="6" t="str">
        <f>'výs čt. M'!Z13</f>
        <v>3:2 (-7,-8,9,3,9)</v>
      </c>
      <c r="G24" s="8"/>
      <c r="H24" s="191"/>
    </row>
    <row r="25" spans="1:8" x14ac:dyDescent="0.2">
      <c r="B25" s="100">
        <v>12</v>
      </c>
      <c r="C25" s="2" t="str">
        <f>IF($B25="","",CONCATENATE(VLOOKUP($B25,sez!$A$2:$B$259,2)," (",VLOOKUP($B25,sez!$A$2:$E$259,4),")"))</f>
        <v>Horníček Lukáš (MS Brno)</v>
      </c>
      <c r="D25" s="13"/>
      <c r="E25" s="7" t="str">
        <f>'výs čt. M'!X7</f>
        <v>Havránek Ondřej</v>
      </c>
      <c r="F25" s="8"/>
      <c r="G25" s="8"/>
      <c r="H25" s="191"/>
    </row>
    <row r="26" spans="1:8" x14ac:dyDescent="0.2">
      <c r="A26" s="2">
        <v>12</v>
      </c>
      <c r="B26" s="5">
        <f>IF(B25="","",VLOOKUP(B25,debl!$B$1:$C$46,2,FALSE))</f>
        <v>13</v>
      </c>
      <c r="C26" s="5" t="str">
        <f>IF($B26="","bye",CONCATENATE(VLOOKUP($B26,sez!$A$2:$B$259,2)," (",VLOOKUP($B26,sez!$A$2:$E$259,4),")"))</f>
        <v>Havránek Ondřej (MS Brno)</v>
      </c>
      <c r="D26" s="14"/>
      <c r="E26" s="2" t="str">
        <f>'výs čt. M'!Z7</f>
        <v>3:0 (0,0,0)</v>
      </c>
      <c r="F26" s="8"/>
      <c r="G26" s="8" t="str">
        <f>'výs čt. M'!V17</f>
        <v>Krištof Lukáš</v>
      </c>
      <c r="H26" s="191"/>
    </row>
    <row r="27" spans="1:8" x14ac:dyDescent="0.2">
      <c r="B27" s="100">
        <v>26</v>
      </c>
      <c r="C27" s="2" t="str">
        <f>IF($B27="","",CONCATENATE(VLOOKUP($B27,sez!$A$2:$B$259,2)," (",VLOOKUP($B27,sez!$A$2:$E$259,4),")"))</f>
        <v>Vrtěl Maxim (KST Blansko)</v>
      </c>
      <c r="D27" s="15"/>
      <c r="F27" s="8"/>
      <c r="G27" s="10" t="str">
        <f>'výs čt. M'!X17</f>
        <v>Pařízek Richard</v>
      </c>
      <c r="H27" s="191"/>
    </row>
    <row r="28" spans="1:8" x14ac:dyDescent="0.2">
      <c r="A28" s="2">
        <v>13</v>
      </c>
      <c r="B28" s="5">
        <f>IF(B27="","",VLOOKUP(B27,debl!$B$1:$C$46,2,FALSE))</f>
        <v>27</v>
      </c>
      <c r="C28" s="5" t="str">
        <f>IF($B28="","bye",CONCATENATE(VLOOKUP($B28,sez!$A$2:$B$259,2)," (",VLOOKUP($B28,sez!$A$2:$E$259,4),")"))</f>
        <v>Wutka Michal (KST Blansko)</v>
      </c>
      <c r="D28" s="12"/>
      <c r="E28" s="2" t="str">
        <f>'výs čt. M'!V8</f>
        <v>Šimeček Robin</v>
      </c>
      <c r="F28" s="8"/>
      <c r="G28" s="2" t="str">
        <f>'výs čt. M'!Z17</f>
        <v>3:0 (5,6,9)</v>
      </c>
      <c r="H28" s="81"/>
    </row>
    <row r="29" spans="1:8" x14ac:dyDescent="0.2">
      <c r="B29" s="100">
        <v>16</v>
      </c>
      <c r="C29" s="2" t="str">
        <f>IF($B29="","",CONCATENATE(VLOOKUP($B29,sez!$A$2:$B$259,2)," (",VLOOKUP($B29,sez!$A$2:$E$259,4),")"))</f>
        <v>Šimeček Robin (TJ Holásky)</v>
      </c>
      <c r="D29" s="13"/>
      <c r="E29" s="5" t="str">
        <f>'výs čt. M'!X8</f>
        <v>Lokaj David</v>
      </c>
      <c r="F29" s="8"/>
      <c r="H29" s="81"/>
    </row>
    <row r="30" spans="1:8" x14ac:dyDescent="0.2">
      <c r="A30" s="2">
        <v>14</v>
      </c>
      <c r="B30" s="5">
        <v>21</v>
      </c>
      <c r="C30" s="5" t="str">
        <f>IF($B30="","bye",CONCATENATE(VLOOKUP($B30,sez!$A$2:$B$259,2)," (",VLOOKUP($B30,sez!$A$2:$E$259,4),")"))</f>
        <v>Lokaj David (Letonice)</v>
      </c>
      <c r="D30" s="14"/>
      <c r="E30" s="6" t="str">
        <f>'výs čt. M'!Z8</f>
        <v>3:0 (7,7,7)</v>
      </c>
      <c r="F30" s="8" t="str">
        <f>'výs čt. M'!V14</f>
        <v>Krištof Lukáš</v>
      </c>
      <c r="H30" s="81"/>
    </row>
    <row r="31" spans="1:8" x14ac:dyDescent="0.2">
      <c r="B31" s="100"/>
      <c r="C31" s="2" t="str">
        <f>IF($B31="","",CONCATENATE(VLOOKUP($B31,sez!$A$2:$B$259,2)," (",VLOOKUP($B31,sez!$A$2:$E$259,4),")"))</f>
        <v/>
      </c>
      <c r="D31" s="15"/>
      <c r="E31" s="8"/>
      <c r="F31" s="10" t="str">
        <f>'výs čt. M'!X14</f>
        <v>Pařízek Richard</v>
      </c>
      <c r="H31" s="81"/>
    </row>
    <row r="32" spans="1:8" x14ac:dyDescent="0.2">
      <c r="A32" s="2">
        <v>15</v>
      </c>
      <c r="B32" s="5" t="str">
        <f>IF(B31="","",VLOOKUP(B31,debl!$B$1:$C$46,2,FALSE))</f>
        <v/>
      </c>
      <c r="C32" s="5" t="str">
        <f>IF($B32="","bye",CONCATENATE(VLOOKUP($B32,sez!$A$2:$B$259,2)," (",VLOOKUP($B32,sez!$A$2:$E$259,4),")"))</f>
        <v>bye</v>
      </c>
      <c r="D32" s="12"/>
      <c r="E32" s="8" t="str">
        <f>'výs čt. M'!V9</f>
        <v>Krištof Lukáš</v>
      </c>
      <c r="F32" s="2" t="str">
        <f>'výs čt. M'!Z14</f>
        <v>3:0 (7,4,5)</v>
      </c>
      <c r="H32" s="81"/>
    </row>
    <row r="33" spans="1:8" x14ac:dyDescent="0.2">
      <c r="B33" s="100">
        <v>3</v>
      </c>
      <c r="C33" s="2" t="str">
        <f>IF($B33="","",CONCATENATE(VLOOKUP($B33,sez!$A$2:$B$259,2)," (",VLOOKUP($B33,sez!$A$2:$E$259,4),")"))</f>
        <v>Krištof Lukáš (Tišnov)</v>
      </c>
      <c r="D33" s="13"/>
      <c r="E33" s="7" t="str">
        <f>'výs čt. M'!X9</f>
        <v>Pařízek Richard</v>
      </c>
      <c r="H33" s="81"/>
    </row>
    <row r="34" spans="1:8" x14ac:dyDescent="0.2">
      <c r="A34" s="2">
        <v>16</v>
      </c>
      <c r="B34" s="5">
        <v>6</v>
      </c>
      <c r="C34" s="5" t="str">
        <f>IF($B34="","bye",CONCATENATE(VLOOKUP($B34,sez!$A$2:$B$259,2)," (",VLOOKUP($B34,sez!$A$2:$E$259,4),")"))</f>
        <v>Pařízek Richard (SKST Hodonín)</v>
      </c>
      <c r="D34" s="14"/>
      <c r="E34" s="2" t="str">
        <f>'výs čt. M'!Z9</f>
        <v/>
      </c>
      <c r="H34" s="81"/>
    </row>
    <row r="35" spans="1:8" x14ac:dyDescent="0.2">
      <c r="C35" s="2" t="str">
        <f>IF($B35="","",CONCATENATE(VLOOKUP($B35,sez!$A$2:$B$259,2)," (",VLOOKUP($B35,sez!$A$2:$E$259,4),")"))</f>
        <v/>
      </c>
      <c r="D35" s="15"/>
      <c r="H35" s="81"/>
    </row>
    <row r="36" spans="1:8" x14ac:dyDescent="0.2">
      <c r="A36" s="81"/>
      <c r="B36" s="81"/>
      <c r="C36" s="81"/>
      <c r="D36" s="87"/>
      <c r="E36" s="81"/>
      <c r="F36" s="81"/>
      <c r="G36" s="81"/>
      <c r="H36" s="81"/>
    </row>
    <row r="37" spans="1:8" x14ac:dyDescent="0.2">
      <c r="A37" s="81"/>
      <c r="B37" s="81"/>
      <c r="C37" s="81"/>
      <c r="D37" s="87"/>
      <c r="E37" s="81"/>
      <c r="F37" s="81"/>
      <c r="G37" s="81"/>
      <c r="H37" s="81"/>
    </row>
    <row r="38" spans="1:8" x14ac:dyDescent="0.2">
      <c r="A38" s="81"/>
      <c r="B38" s="81"/>
      <c r="C38" s="81"/>
      <c r="D38" s="87"/>
      <c r="E38" s="81"/>
      <c r="F38" s="81"/>
      <c r="G38" s="81"/>
      <c r="H38" s="81"/>
    </row>
    <row r="39" spans="1:8" x14ac:dyDescent="0.2">
      <c r="A39" s="81"/>
      <c r="B39" s="81"/>
      <c r="C39" s="81"/>
      <c r="D39" s="87"/>
      <c r="E39" s="81"/>
      <c r="F39" s="81"/>
      <c r="G39" s="81"/>
      <c r="H39" s="81"/>
    </row>
    <row r="40" spans="1:8" x14ac:dyDescent="0.2">
      <c r="A40" s="81"/>
      <c r="B40" s="81"/>
      <c r="C40" s="81"/>
      <c r="D40" s="87"/>
      <c r="E40" s="81"/>
      <c r="F40" s="81"/>
      <c r="G40" s="81"/>
      <c r="H40" s="81"/>
    </row>
    <row r="41" spans="1:8" x14ac:dyDescent="0.2">
      <c r="A41" s="81"/>
      <c r="B41" s="81"/>
      <c r="C41" s="81"/>
      <c r="D41" s="87"/>
      <c r="E41" s="81"/>
      <c r="F41" s="81"/>
      <c r="G41" s="81"/>
      <c r="H41" s="81"/>
    </row>
    <row r="42" spans="1:8" x14ac:dyDescent="0.2">
      <c r="A42" s="81"/>
      <c r="B42" s="81"/>
      <c r="C42" s="81"/>
      <c r="D42" s="87"/>
      <c r="E42" s="81"/>
      <c r="F42" s="81"/>
      <c r="G42" s="81"/>
      <c r="H42" s="81"/>
    </row>
    <row r="43" spans="1:8" x14ac:dyDescent="0.2">
      <c r="A43" s="81"/>
      <c r="B43" s="81"/>
      <c r="C43" s="81"/>
      <c r="D43" s="87"/>
      <c r="E43" s="81"/>
      <c r="F43" s="81"/>
      <c r="G43" s="81"/>
      <c r="H43" s="81"/>
    </row>
    <row r="44" spans="1:8" x14ac:dyDescent="0.2">
      <c r="A44" s="81"/>
      <c r="B44" s="81"/>
      <c r="C44" s="81"/>
      <c r="D44" s="87"/>
      <c r="E44" s="81"/>
      <c r="F44" s="81"/>
      <c r="G44" s="81"/>
      <c r="H44" s="81"/>
    </row>
    <row r="45" spans="1:8" x14ac:dyDescent="0.2">
      <c r="A45" s="81"/>
      <c r="B45" s="81"/>
      <c r="C45" s="81"/>
      <c r="D45" s="87"/>
      <c r="E45" s="81"/>
      <c r="F45" s="81"/>
      <c r="G45" s="81"/>
      <c r="H45" s="81"/>
    </row>
    <row r="46" spans="1:8" x14ac:dyDescent="0.2">
      <c r="A46" s="81"/>
      <c r="B46" s="81"/>
      <c r="C46" s="81"/>
      <c r="D46" s="87"/>
      <c r="E46" s="81"/>
      <c r="F46" s="81"/>
      <c r="G46" s="81"/>
      <c r="H46" s="81"/>
    </row>
    <row r="47" spans="1:8" x14ac:dyDescent="0.2">
      <c r="A47" s="81"/>
      <c r="B47" s="81"/>
      <c r="C47" s="81"/>
      <c r="D47" s="87"/>
      <c r="E47" s="81"/>
      <c r="F47" s="81"/>
      <c r="G47" s="81"/>
      <c r="H47" s="81"/>
    </row>
    <row r="48" spans="1:8" x14ac:dyDescent="0.2">
      <c r="A48" s="81"/>
      <c r="B48" s="81"/>
      <c r="C48" s="81"/>
      <c r="D48" s="87"/>
      <c r="E48" s="81"/>
      <c r="F48" s="81"/>
      <c r="G48" s="81"/>
      <c r="H48" s="81"/>
    </row>
    <row r="49" spans="1:8" x14ac:dyDescent="0.2">
      <c r="A49" s="81"/>
      <c r="B49" s="81"/>
      <c r="C49" s="81"/>
      <c r="D49" s="87"/>
      <c r="E49" s="81"/>
      <c r="F49" s="81"/>
      <c r="G49" s="81"/>
      <c r="H49" s="81"/>
    </row>
    <row r="50" spans="1:8" x14ac:dyDescent="0.2">
      <c r="A50" s="81"/>
      <c r="B50" s="81"/>
      <c r="C50" s="81"/>
      <c r="D50" s="87"/>
      <c r="E50" s="81"/>
      <c r="F50" s="81"/>
      <c r="G50" s="81"/>
      <c r="H50" s="88"/>
    </row>
    <row r="51" spans="1:8" x14ac:dyDescent="0.2">
      <c r="A51" s="81"/>
      <c r="B51" s="81"/>
      <c r="C51" s="81"/>
      <c r="D51" s="87"/>
      <c r="E51" s="81"/>
      <c r="F51" s="81"/>
      <c r="G51" s="81"/>
      <c r="H51" s="88"/>
    </row>
    <row r="52" spans="1:8" x14ac:dyDescent="0.2">
      <c r="A52" s="81"/>
      <c r="B52" s="81"/>
      <c r="C52" s="81"/>
      <c r="D52" s="87"/>
      <c r="E52" s="81"/>
      <c r="F52" s="81"/>
      <c r="G52" s="81"/>
      <c r="H52" s="81"/>
    </row>
    <row r="53" spans="1:8" x14ac:dyDescent="0.2">
      <c r="A53" s="81"/>
      <c r="B53" s="81"/>
      <c r="C53" s="81"/>
      <c r="D53" s="87"/>
      <c r="E53" s="81"/>
      <c r="F53" s="81"/>
      <c r="G53" s="81"/>
      <c r="H53" s="81"/>
    </row>
    <row r="54" spans="1:8" x14ac:dyDescent="0.2">
      <c r="A54" s="81"/>
      <c r="B54" s="81"/>
      <c r="C54" s="81"/>
      <c r="D54" s="87"/>
      <c r="E54" s="81"/>
      <c r="F54" s="81"/>
      <c r="G54" s="81"/>
      <c r="H54" s="81"/>
    </row>
    <row r="55" spans="1:8" x14ac:dyDescent="0.2">
      <c r="A55" s="81"/>
      <c r="B55" s="81"/>
      <c r="C55" s="81"/>
      <c r="D55" s="87"/>
      <c r="E55" s="81"/>
      <c r="F55" s="81"/>
      <c r="G55" s="81"/>
      <c r="H55" s="81"/>
    </row>
    <row r="56" spans="1:8" x14ac:dyDescent="0.2">
      <c r="A56" s="81"/>
      <c r="B56" s="81"/>
      <c r="C56" s="81"/>
      <c r="D56" s="87"/>
      <c r="E56" s="81"/>
      <c r="F56" s="81"/>
      <c r="G56" s="81"/>
      <c r="H56" s="81"/>
    </row>
    <row r="57" spans="1:8" x14ac:dyDescent="0.2">
      <c r="A57" s="81"/>
      <c r="B57" s="81"/>
      <c r="C57" s="81"/>
      <c r="D57" s="87"/>
      <c r="E57" s="81"/>
      <c r="F57" s="81"/>
      <c r="G57" s="81"/>
      <c r="H57" s="81"/>
    </row>
    <row r="58" spans="1:8" x14ac:dyDescent="0.2">
      <c r="A58" s="81"/>
      <c r="B58" s="81"/>
      <c r="C58" s="81"/>
      <c r="D58" s="87"/>
      <c r="E58" s="81"/>
      <c r="F58" s="81"/>
      <c r="G58" s="81"/>
      <c r="H58" s="81"/>
    </row>
    <row r="59" spans="1:8" x14ac:dyDescent="0.2">
      <c r="A59" s="81"/>
      <c r="B59" s="81"/>
      <c r="C59" s="81"/>
      <c r="D59" s="87"/>
      <c r="E59" s="81"/>
      <c r="F59" s="81"/>
      <c r="G59" s="81"/>
      <c r="H59" s="81"/>
    </row>
    <row r="60" spans="1:8" x14ac:dyDescent="0.2">
      <c r="A60" s="81"/>
      <c r="B60" s="81"/>
      <c r="C60" s="81"/>
      <c r="D60" s="87"/>
      <c r="E60" s="81"/>
      <c r="F60" s="81"/>
      <c r="G60" s="81"/>
      <c r="H60" s="81"/>
    </row>
    <row r="61" spans="1:8" x14ac:dyDescent="0.2">
      <c r="A61" s="81"/>
      <c r="B61" s="81"/>
      <c r="C61" s="81"/>
      <c r="D61" s="87"/>
      <c r="E61" s="81"/>
      <c r="F61" s="81"/>
      <c r="G61" s="81"/>
      <c r="H61" s="81"/>
    </row>
    <row r="62" spans="1:8" x14ac:dyDescent="0.2">
      <c r="A62" s="81"/>
      <c r="B62" s="81"/>
      <c r="C62" s="81"/>
      <c r="D62" s="87"/>
      <c r="E62" s="81"/>
      <c r="F62" s="81"/>
      <c r="G62" s="81"/>
      <c r="H62" s="81"/>
    </row>
    <row r="63" spans="1:8" x14ac:dyDescent="0.2">
      <c r="A63" s="81"/>
      <c r="B63" s="81"/>
      <c r="C63" s="81"/>
      <c r="D63" s="87"/>
      <c r="E63" s="81"/>
      <c r="F63" s="81"/>
      <c r="G63" s="81"/>
      <c r="H63" s="81"/>
    </row>
    <row r="64" spans="1:8" x14ac:dyDescent="0.2">
      <c r="A64" s="81"/>
      <c r="B64" s="81"/>
      <c r="C64" s="81"/>
      <c r="D64" s="87"/>
      <c r="E64" s="81"/>
      <c r="F64" s="81"/>
      <c r="G64" s="81"/>
      <c r="H64" s="81"/>
    </row>
    <row r="65" spans="1:8" x14ac:dyDescent="0.2">
      <c r="A65" s="81"/>
      <c r="B65" s="81"/>
      <c r="C65" s="81"/>
      <c r="D65" s="87"/>
      <c r="E65" s="81"/>
      <c r="F65" s="81"/>
      <c r="G65" s="81"/>
      <c r="H65" s="81"/>
    </row>
    <row r="66" spans="1:8" x14ac:dyDescent="0.2">
      <c r="A66" s="81"/>
      <c r="B66" s="81"/>
      <c r="C66" s="81"/>
      <c r="D66" s="87"/>
      <c r="E66" s="81"/>
      <c r="F66" s="81"/>
      <c r="G66" s="81"/>
      <c r="H66" s="81"/>
    </row>
    <row r="67" spans="1:8" x14ac:dyDescent="0.2">
      <c r="A67" s="81"/>
      <c r="B67" s="81"/>
      <c r="C67" s="81"/>
      <c r="D67" s="87"/>
      <c r="E67" s="81"/>
      <c r="F67" s="81"/>
      <c r="G67" s="81"/>
      <c r="H67" s="81"/>
    </row>
  </sheetData>
  <phoneticPr fontId="0" type="noConversion"/>
  <printOptions horizontalCentered="1"/>
  <pageMargins left="0.39370078740157483" right="0.39370078740157483" top="0.39370078740157483" bottom="0.59055118110236227" header="0.51181102362204722" footer="0.51181102362204722"/>
  <pageSetup paperSize="9" scale="84" fitToHeight="0" orientation="landscape" r:id="rId1"/>
  <headerFooter alignWithMargins="0"/>
  <rowBreaks count="1" manualBreakCount="1">
    <brk id="67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F22"/>
  <sheetViews>
    <sheetView workbookViewId="0">
      <pane ySplit="1" topLeftCell="A2" activePane="bottomLeft" state="frozen"/>
      <selection activeCell="B4" sqref="B4"/>
      <selection pane="bottomLeft" activeCell="B4" sqref="B4"/>
    </sheetView>
  </sheetViews>
  <sheetFormatPr defaultRowHeight="12.75" x14ac:dyDescent="0.2"/>
  <cols>
    <col min="1" max="1" width="20.85546875" style="2" customWidth="1"/>
    <col min="2" max="2" width="4.5703125" style="2" bestFit="1" customWidth="1"/>
    <col min="3" max="3" width="16" style="2" bestFit="1" customWidth="1"/>
    <col min="4" max="4" width="7" style="2" bestFit="1" customWidth="1"/>
    <col min="5" max="5" width="4.5703125" style="2" bestFit="1" customWidth="1"/>
    <col min="6" max="6" width="16" style="2" bestFit="1" customWidth="1"/>
    <col min="7" max="7" width="7" style="2" bestFit="1" customWidth="1"/>
    <col min="8" max="8" width="4.85546875" style="2" bestFit="1" customWidth="1"/>
    <col min="9" max="9" width="16" style="2" bestFit="1" customWidth="1"/>
    <col min="10" max="10" width="7" style="2" bestFit="1" customWidth="1"/>
    <col min="11" max="11" width="4.85546875" style="2" bestFit="1" customWidth="1"/>
    <col min="12" max="12" width="14.42578125" style="2" bestFit="1" customWidth="1"/>
    <col min="13" max="13" width="7" style="2" bestFit="1" customWidth="1"/>
    <col min="14" max="15" width="3.85546875" style="2" customWidth="1"/>
    <col min="16" max="20" width="4.28515625" style="2" customWidth="1"/>
    <col min="21" max="21" width="4.5703125" style="2" bestFit="1" customWidth="1"/>
    <col min="22" max="22" width="12" style="2" customWidth="1"/>
    <col min="23" max="23" width="4.140625" style="2" customWidth="1"/>
    <col min="24" max="24" width="11" style="2" customWidth="1"/>
    <col min="25" max="25" width="3.140625" style="2" customWidth="1"/>
    <col min="26" max="26" width="21.7109375" style="2" bestFit="1" customWidth="1"/>
    <col min="27" max="27" width="2.7109375" style="2" customWidth="1"/>
    <col min="28" max="32" width="4.140625" style="2" customWidth="1"/>
    <col min="33" max="16384" width="9.140625" style="2"/>
  </cols>
  <sheetData>
    <row r="1" spans="1:32" ht="13.5" thickBot="1" x14ac:dyDescent="0.25">
      <c r="B1" s="1" t="s">
        <v>0</v>
      </c>
      <c r="C1" s="101" t="s">
        <v>1</v>
      </c>
      <c r="D1" s="101" t="s">
        <v>2</v>
      </c>
      <c r="E1" s="101" t="s">
        <v>0</v>
      </c>
      <c r="F1" s="101" t="s">
        <v>3</v>
      </c>
      <c r="G1" s="101" t="s">
        <v>2</v>
      </c>
      <c r="H1" s="101" t="s">
        <v>0</v>
      </c>
      <c r="I1" s="101" t="s">
        <v>14</v>
      </c>
      <c r="J1" s="101" t="s">
        <v>2</v>
      </c>
      <c r="K1" s="101" t="s">
        <v>0</v>
      </c>
      <c r="L1" s="101" t="s">
        <v>15</v>
      </c>
      <c r="M1" s="1" t="s">
        <v>2</v>
      </c>
      <c r="N1" s="23" t="s">
        <v>4</v>
      </c>
      <c r="O1" s="23" t="s">
        <v>5</v>
      </c>
      <c r="P1" s="23" t="s">
        <v>6</v>
      </c>
      <c r="Q1" s="23" t="s">
        <v>7</v>
      </c>
      <c r="R1" s="23" t="s">
        <v>8</v>
      </c>
      <c r="S1" s="1" t="s">
        <v>9</v>
      </c>
      <c r="T1" s="1" t="s">
        <v>10</v>
      </c>
      <c r="U1" s="1" t="s">
        <v>11</v>
      </c>
    </row>
    <row r="2" spans="1:32" ht="13.5" thickTop="1" x14ac:dyDescent="0.2">
      <c r="A2" s="131" t="str">
        <f>CONCATENATE("Čtyřhra ",úvod!$C$8,"M - 1.kolo")</f>
        <v>Čtyřhra U19M - 1.kolo</v>
      </c>
      <c r="B2" s="131">
        <f>'čt. M'!$B$3</f>
        <v>2</v>
      </c>
      <c r="C2" s="131" t="str">
        <f>IF($B2=0,"bye",VLOOKUP($B2,sez!$A$2:$D$259,2))</f>
        <v>Nespěšný Hynek</v>
      </c>
      <c r="D2" s="131" t="str">
        <f>IF($B2=0,"",VLOOKUP($B2,sez!$A$2:$D$259,4))</f>
        <v>MS Brno</v>
      </c>
      <c r="E2" s="131">
        <f>'čt. M'!$B$4</f>
        <v>5</v>
      </c>
      <c r="F2" s="131" t="str">
        <f>IF($E2="","bye",VLOOKUP($E2,sez!$A$2:$D$259,2))</f>
        <v>Drápal Metoděj</v>
      </c>
      <c r="G2" s="131" t="str">
        <f>IF($E2="","",VLOOKUP($E2,sez!$A$2:$D$259,4))</f>
        <v>MS Brno</v>
      </c>
      <c r="H2" s="131">
        <f>'čt. M'!$B$5</f>
        <v>0</v>
      </c>
      <c r="I2" s="131" t="str">
        <f>IF($H2=0,"bye",VLOOKUP($H2,sez!$A$2:$D$259,2))</f>
        <v>bye</v>
      </c>
      <c r="J2" s="131" t="str">
        <f>IF($H2=0,"",VLOOKUP($H2,sez!$A$2:$D$259,4))</f>
        <v/>
      </c>
      <c r="K2" s="131" t="str">
        <f>'čt. M'!$B$6</f>
        <v/>
      </c>
      <c r="L2" s="131" t="str">
        <f>IF($K2="","bye",VLOOKUP($K2,sez!$A$2:$D$259,2))</f>
        <v>bye</v>
      </c>
      <c r="M2" s="131" t="str">
        <f>IF($K2="","",VLOOKUP($K2,sez!$A$2:$D$259,4))</f>
        <v/>
      </c>
      <c r="N2" s="62" t="s">
        <v>89</v>
      </c>
      <c r="O2" s="63" t="s">
        <v>89</v>
      </c>
      <c r="P2" s="63" t="s">
        <v>89</v>
      </c>
      <c r="Q2" s="63"/>
      <c r="R2" s="64"/>
      <c r="S2" s="2">
        <f t="shared" ref="S2:S9" si="0">COUNTIF(AB2:AF2,"&gt;0")</f>
        <v>3</v>
      </c>
      <c r="T2" s="2">
        <f t="shared" ref="T2:T9" si="1">COUNTIF(AB2:AF2,"&lt;0")</f>
        <v>0</v>
      </c>
      <c r="U2" s="2">
        <f t="shared" ref="U2:U9" si="2">IF(S2=T2,0,IF(S2&gt;T2,B2,H2))</f>
        <v>2</v>
      </c>
      <c r="V2" s="2" t="str">
        <f>IF($U2=0,"",VLOOKUP($U2,sez!$A$2:$D$259,2))</f>
        <v>Nespěšný Hynek</v>
      </c>
      <c r="W2" s="2">
        <f t="shared" ref="W2:W9" si="3">IF(S2=T2,0,IF(S2&gt;T2,E2,K2))</f>
        <v>5</v>
      </c>
      <c r="X2" s="2" t="str">
        <f>IF($W2=0,"",VLOOKUP($W2,sez!$A$2:$D$259,2))</f>
        <v>Drápal Metoděj</v>
      </c>
      <c r="Y2" s="2" t="str">
        <f t="shared" ref="Y2:Y9" si="4">IF(S2=T2,"",IF(S2&gt;T2,CONCATENATE(S2,":",T2," (",N2,",",O2,",",P2,IF(SUM(S2:T2)&gt;3,",",""),Q2,IF(SUM(S2:T2)&gt;4,",",""),R2,")"),CONCATENATE(T2,":",S2," (",-N2,",",-O2,",",-P2,IF(SUM(S2:T2)&gt;3,",",""),IF(SUM(S2:T2)&gt;3,-Q2,""),IF(SUM(S2:T2)&gt;4,",",""),IF(SUM(S2:T2)&gt;4,-R2,""),")")))</f>
        <v>3:0 (0,0,0)</v>
      </c>
      <c r="Z2" s="2" t="str">
        <f t="shared" ref="Z2:Z9" si="5">IF(MAX(S2:T2)=3,Y2,"")</f>
        <v>3:0 (0,0,0)</v>
      </c>
      <c r="AB2" s="24">
        <f t="shared" ref="AB2:AB9" si="6">IF(N2="",0,IF(MID(N2,1,1)="-",-1,1))</f>
        <v>1</v>
      </c>
      <c r="AC2" s="24">
        <f t="shared" ref="AC2:AC9" si="7">IF(O2="",0,IF(MID(O2,1,1)="-",-1,1))</f>
        <v>1</v>
      </c>
      <c r="AD2" s="24">
        <f t="shared" ref="AD2:AD9" si="8">IF(P2="",0,IF(MID(P2,1,1)="-",-1,1))</f>
        <v>1</v>
      </c>
      <c r="AE2" s="24">
        <f t="shared" ref="AE2:AE9" si="9">IF(Q2="",0,IF(MID(Q2,1,1)="-",-1,1))</f>
        <v>0</v>
      </c>
      <c r="AF2" s="24">
        <f t="shared" ref="AF2:AF9" si="10">IF(R2="",0,IF(MID(R2,1,1)="-",-1,1))</f>
        <v>0</v>
      </c>
    </row>
    <row r="3" spans="1:32" x14ac:dyDescent="0.2">
      <c r="A3" s="131" t="str">
        <f>CONCATENATE("Čtyřhra ",úvod!$C$8,"M - 1.kolo")</f>
        <v>Čtyřhra U19M - 1.kolo</v>
      </c>
      <c r="B3" s="131">
        <f>'čt. M'!$B$7</f>
        <v>22</v>
      </c>
      <c r="C3" s="131" t="str">
        <f>IF($B3=0,"bye",VLOOKUP($B3,sez!$A$2:$D$259,2))</f>
        <v>Lysoněk Filip</v>
      </c>
      <c r="D3" s="131" t="str">
        <f>IF($B3=0,"",VLOOKUP($B3,sez!$A$2:$D$259,4))</f>
        <v>Velké Opatovice</v>
      </c>
      <c r="E3" s="131">
        <f>'čt. M'!$B$8</f>
        <v>20</v>
      </c>
      <c r="F3" s="131" t="str">
        <f>IF($E3="","bye",VLOOKUP($E3,sez!$A$2:$D$259,2))</f>
        <v>Ševčík Ondřej</v>
      </c>
      <c r="G3" s="131" t="str">
        <f>IF($E3="","",VLOOKUP($E3,sez!$A$2:$D$259,4))</f>
        <v>Velké Opatovice</v>
      </c>
      <c r="H3" s="131">
        <f>'čt. M'!$B$9</f>
        <v>11</v>
      </c>
      <c r="I3" s="131" t="str">
        <f>IF($H3=0,"bye",VLOOKUP($H3,sez!$A$2:$D$259,2))</f>
        <v>Krejčí David</v>
      </c>
      <c r="J3" s="131" t="str">
        <f>IF($H3=0,"",VLOOKUP($H3,sez!$A$2:$D$259,4))</f>
        <v>MS Brno</v>
      </c>
      <c r="K3" s="131">
        <f>'čt. M'!$B$10</f>
        <v>23</v>
      </c>
      <c r="L3" s="131" t="str">
        <f>IF($K3="","bye",VLOOKUP($K3,sez!$A$2:$D$259,2))</f>
        <v>Pluháček Adam</v>
      </c>
      <c r="M3" s="131" t="str">
        <f>IF($K3="","",VLOOKUP($K3,sez!$A$2:$D$259,4))</f>
        <v>Sokol Brno I</v>
      </c>
      <c r="N3" s="65" t="s">
        <v>81</v>
      </c>
      <c r="O3" s="66" t="s">
        <v>77</v>
      </c>
      <c r="P3" s="66" t="s">
        <v>79</v>
      </c>
      <c r="Q3" s="66"/>
      <c r="R3" s="67"/>
      <c r="S3" s="2">
        <f t="shared" si="0"/>
        <v>0</v>
      </c>
      <c r="T3" s="2">
        <f t="shared" si="1"/>
        <v>3</v>
      </c>
      <c r="U3" s="2">
        <f t="shared" si="2"/>
        <v>11</v>
      </c>
      <c r="V3" s="2" t="str">
        <f>IF($U3=0,"",VLOOKUP($U3,sez!$A$2:$D$259,2))</f>
        <v>Krejčí David</v>
      </c>
      <c r="W3" s="2">
        <f t="shared" si="3"/>
        <v>23</v>
      </c>
      <c r="X3" s="2" t="str">
        <f>IF($W3=0,"",VLOOKUP($W3,sez!$A$2:$D$259,2))</f>
        <v>Pluháček Adam</v>
      </c>
      <c r="Y3" s="2" t="str">
        <f t="shared" si="4"/>
        <v>3:0 (6,8,7)</v>
      </c>
      <c r="Z3" s="2" t="str">
        <f t="shared" si="5"/>
        <v>3:0 (6,8,7)</v>
      </c>
      <c r="AB3" s="24">
        <f t="shared" si="6"/>
        <v>-1</v>
      </c>
      <c r="AC3" s="24">
        <f t="shared" si="7"/>
        <v>-1</v>
      </c>
      <c r="AD3" s="24">
        <f t="shared" si="8"/>
        <v>-1</v>
      </c>
      <c r="AE3" s="24">
        <f t="shared" si="9"/>
        <v>0</v>
      </c>
      <c r="AF3" s="24">
        <f t="shared" si="10"/>
        <v>0</v>
      </c>
    </row>
    <row r="4" spans="1:32" x14ac:dyDescent="0.2">
      <c r="A4" s="131" t="str">
        <f>CONCATENATE("Čtyřhra ",úvod!$C$8,"M - 1.kolo")</f>
        <v>Čtyřhra U19M - 1.kolo</v>
      </c>
      <c r="B4" s="131">
        <f>'čt. M'!$B$11</f>
        <v>19</v>
      </c>
      <c r="C4" s="131" t="str">
        <f>IF($B4=0,"bye",VLOOKUP($B4,sez!$A$2:$D$259,2))</f>
        <v>Chromník Martin</v>
      </c>
      <c r="D4" s="131" t="str">
        <f>IF($B4=0,"",VLOOKUP($B4,sez!$A$2:$D$259,4))</f>
        <v>STP Mikulov</v>
      </c>
      <c r="E4" s="131">
        <f>'čt. M'!$B$12</f>
        <v>7</v>
      </c>
      <c r="F4" s="131" t="str">
        <f>IF($E4="","bye",VLOOKUP($E4,sez!$A$2:$D$259,2))</f>
        <v>Němeček Radek</v>
      </c>
      <c r="G4" s="131" t="str">
        <f>IF($E4="","",VLOOKUP($E4,sez!$A$2:$D$259,4))</f>
        <v>MSK Břeclav</v>
      </c>
      <c r="H4" s="131">
        <f>'čt. M'!$B$13</f>
        <v>0</v>
      </c>
      <c r="I4" s="131" t="str">
        <f>IF($H4=0,"bye",VLOOKUP($H4,sez!$A$2:$D$259,2))</f>
        <v>bye</v>
      </c>
      <c r="J4" s="131" t="str">
        <f>IF($H4=0,"",VLOOKUP($H4,sez!$A$2:$D$259,4))</f>
        <v/>
      </c>
      <c r="K4" s="131" t="str">
        <f>'čt. M'!$B$14</f>
        <v/>
      </c>
      <c r="L4" s="131" t="str">
        <f>IF($K4="","bye",VLOOKUP($K4,sez!$A$2:$D$259,2))</f>
        <v>bye</v>
      </c>
      <c r="M4" s="131" t="str">
        <f>IF($K4="","",VLOOKUP($K4,sez!$A$2:$D$259,4))</f>
        <v/>
      </c>
      <c r="N4" s="65" t="s">
        <v>89</v>
      </c>
      <c r="O4" s="66" t="s">
        <v>89</v>
      </c>
      <c r="P4" s="66" t="s">
        <v>89</v>
      </c>
      <c r="Q4" s="66"/>
      <c r="R4" s="67"/>
      <c r="S4" s="2">
        <f t="shared" si="0"/>
        <v>3</v>
      </c>
      <c r="T4" s="2">
        <f t="shared" si="1"/>
        <v>0</v>
      </c>
      <c r="U4" s="2">
        <f t="shared" si="2"/>
        <v>19</v>
      </c>
      <c r="V4" s="2" t="str">
        <f>IF($U4=0,"",VLOOKUP($U4,sez!$A$2:$D$259,2))</f>
        <v>Chromník Martin</v>
      </c>
      <c r="W4" s="2">
        <f t="shared" si="3"/>
        <v>7</v>
      </c>
      <c r="X4" s="2" t="str">
        <f>IF($W4=0,"",VLOOKUP($W4,sez!$A$2:$D$259,2))</f>
        <v>Němeček Radek</v>
      </c>
      <c r="Y4" s="2" t="str">
        <f t="shared" si="4"/>
        <v>3:0 (0,0,0)</v>
      </c>
      <c r="Z4" s="2" t="str">
        <f t="shared" si="5"/>
        <v>3:0 (0,0,0)</v>
      </c>
      <c r="AB4" s="24">
        <f t="shared" si="6"/>
        <v>1</v>
      </c>
      <c r="AC4" s="24">
        <f t="shared" si="7"/>
        <v>1</v>
      </c>
      <c r="AD4" s="24">
        <f t="shared" si="8"/>
        <v>1</v>
      </c>
      <c r="AE4" s="24">
        <f t="shared" si="9"/>
        <v>0</v>
      </c>
      <c r="AF4" s="24">
        <f t="shared" si="10"/>
        <v>0</v>
      </c>
    </row>
    <row r="5" spans="1:32" x14ac:dyDescent="0.2">
      <c r="A5" s="131" t="str">
        <f>CONCATENATE("Čtyřhra ",úvod!$C$8,"M - 1.kolo")</f>
        <v>Čtyřhra U19M - 1.kolo</v>
      </c>
      <c r="B5" s="131">
        <f>'čt. M'!$B$15</f>
        <v>0</v>
      </c>
      <c r="C5" s="131" t="str">
        <f>IF($B5=0,"bye",VLOOKUP($B5,sez!$A$2:$D$259,2))</f>
        <v>bye</v>
      </c>
      <c r="D5" s="131" t="str">
        <f>IF($B5=0,"",VLOOKUP($B5,sez!$A$2:$D$259,4))</f>
        <v/>
      </c>
      <c r="E5" s="131" t="str">
        <f>'čt. M'!$B$16</f>
        <v/>
      </c>
      <c r="F5" s="131" t="str">
        <f>IF($E5="","bye",VLOOKUP($E5,sez!$A$2:$D$259,2))</f>
        <v>bye</v>
      </c>
      <c r="G5" s="131" t="str">
        <f>IF($E5="","",VLOOKUP($E5,sez!$A$2:$D$259,4))</f>
        <v/>
      </c>
      <c r="H5" s="131">
        <f>'čt. M'!$B$17</f>
        <v>10</v>
      </c>
      <c r="I5" s="131" t="str">
        <f>IF($H5=0,"bye",VLOOKUP($H5,sez!$A$2:$D$259,2))</f>
        <v>Vincenec Oliver</v>
      </c>
      <c r="J5" s="131" t="str">
        <f>IF($H5=0,"",VLOOKUP($H5,sez!$A$2:$D$259,4))</f>
        <v>KST Vyškov</v>
      </c>
      <c r="K5" s="131">
        <f>'čt. M'!$B$18</f>
        <v>4</v>
      </c>
      <c r="L5" s="131" t="str">
        <f>IF($K5="","bye",VLOOKUP($K5,sez!$A$2:$D$259,2))</f>
        <v>Luska Petr</v>
      </c>
      <c r="M5" s="131" t="str">
        <f>IF($K5="","",VLOOKUP($K5,sez!$A$2:$D$259,4))</f>
        <v>KST Vyškov</v>
      </c>
      <c r="N5" s="65" t="s">
        <v>84</v>
      </c>
      <c r="O5" s="66" t="s">
        <v>84</v>
      </c>
      <c r="P5" s="66" t="s">
        <v>84</v>
      </c>
      <c r="Q5" s="66"/>
      <c r="R5" s="67"/>
      <c r="S5" s="2">
        <f t="shared" si="0"/>
        <v>0</v>
      </c>
      <c r="T5" s="2">
        <f t="shared" si="1"/>
        <v>3</v>
      </c>
      <c r="U5" s="2">
        <f t="shared" si="2"/>
        <v>10</v>
      </c>
      <c r="V5" s="2" t="str">
        <f>IF($U5=0,"",VLOOKUP($U5,sez!$A$2:$D$259,2))</f>
        <v>Vincenec Oliver</v>
      </c>
      <c r="W5" s="2">
        <f t="shared" si="3"/>
        <v>4</v>
      </c>
      <c r="X5" s="2" t="str">
        <f>IF($W5=0,"",VLOOKUP($W5,sez!$A$2:$D$259,2))</f>
        <v>Luska Petr</v>
      </c>
      <c r="Y5" s="2" t="str">
        <f t="shared" si="4"/>
        <v>3:0 (0,0,0)</v>
      </c>
      <c r="Z5" s="2" t="str">
        <f t="shared" si="5"/>
        <v>3:0 (0,0,0)</v>
      </c>
      <c r="AB5" s="24">
        <f t="shared" si="6"/>
        <v>-1</v>
      </c>
      <c r="AC5" s="24">
        <f t="shared" si="7"/>
        <v>-1</v>
      </c>
      <c r="AD5" s="24">
        <f t="shared" si="8"/>
        <v>-1</v>
      </c>
      <c r="AE5" s="24">
        <f t="shared" si="9"/>
        <v>0</v>
      </c>
      <c r="AF5" s="24">
        <f t="shared" si="10"/>
        <v>0</v>
      </c>
    </row>
    <row r="6" spans="1:32" x14ac:dyDescent="0.2">
      <c r="A6" s="131" t="str">
        <f>CONCATENATE("Čtyřhra ",úvod!$C$8,"M - 1.kolo")</f>
        <v>Čtyřhra U19M - 1.kolo</v>
      </c>
      <c r="B6" s="131">
        <f>'čt. M'!$B$19</f>
        <v>8</v>
      </c>
      <c r="C6" s="131" t="str">
        <f>IF($B6=0,"bye",VLOOKUP($B6,sez!$A$2:$D$259,2))</f>
        <v>Pokorný Martin</v>
      </c>
      <c r="D6" s="131" t="str">
        <f>IF($B6=0,"",VLOOKUP($B6,sez!$A$2:$D$259,4))</f>
        <v>KST Blansko</v>
      </c>
      <c r="E6" s="131">
        <f>'čt. M'!$B$20</f>
        <v>9</v>
      </c>
      <c r="F6" s="131" t="str">
        <f>IF($E6="","bye",VLOOKUP($E6,sez!$A$2:$D$259,2))</f>
        <v>Štěpánek Ondřej</v>
      </c>
      <c r="G6" s="131" t="str">
        <f>IF($E6="","",VLOOKUP($E6,sez!$A$2:$D$259,4))</f>
        <v>KST Blansko</v>
      </c>
      <c r="H6" s="131">
        <f>'čt. M'!$B$21</f>
        <v>0</v>
      </c>
      <c r="I6" s="131" t="str">
        <f>IF($H6=0,"bye",VLOOKUP($H6,sez!$A$2:$D$259,2))</f>
        <v>bye</v>
      </c>
      <c r="J6" s="131" t="str">
        <f>IF($H6=0,"",VLOOKUP($H6,sez!$A$2:$D$259,4))</f>
        <v/>
      </c>
      <c r="K6" s="131" t="str">
        <f>'čt. M'!$B$22</f>
        <v/>
      </c>
      <c r="L6" s="131" t="str">
        <f>IF($K6="","bye",VLOOKUP($K6,sez!$A$2:$D$259,2))</f>
        <v>bye</v>
      </c>
      <c r="M6" s="131" t="str">
        <f>IF($K6="","",VLOOKUP($K6,sez!$A$2:$D$259,4))</f>
        <v/>
      </c>
      <c r="N6" s="65" t="s">
        <v>89</v>
      </c>
      <c r="O6" s="66" t="s">
        <v>89</v>
      </c>
      <c r="P6" s="66" t="s">
        <v>89</v>
      </c>
      <c r="Q6" s="66"/>
      <c r="R6" s="67"/>
      <c r="S6" s="2">
        <f t="shared" si="0"/>
        <v>3</v>
      </c>
      <c r="T6" s="2">
        <f t="shared" si="1"/>
        <v>0</v>
      </c>
      <c r="U6" s="2">
        <f t="shared" si="2"/>
        <v>8</v>
      </c>
      <c r="V6" s="2" t="str">
        <f>IF($U6=0,"",VLOOKUP($U6,sez!$A$2:$D$259,2))</f>
        <v>Pokorný Martin</v>
      </c>
      <c r="W6" s="2">
        <f t="shared" si="3"/>
        <v>9</v>
      </c>
      <c r="X6" s="2" t="str">
        <f>IF($W6=0,"",VLOOKUP($W6,sez!$A$2:$D$259,2))</f>
        <v>Štěpánek Ondřej</v>
      </c>
      <c r="Y6" s="2" t="str">
        <f t="shared" si="4"/>
        <v>3:0 (0,0,0)</v>
      </c>
      <c r="Z6" s="2" t="str">
        <f t="shared" si="5"/>
        <v>3:0 (0,0,0)</v>
      </c>
      <c r="AB6" s="24">
        <f t="shared" si="6"/>
        <v>1</v>
      </c>
      <c r="AC6" s="24">
        <f t="shared" si="7"/>
        <v>1</v>
      </c>
      <c r="AD6" s="24">
        <f t="shared" si="8"/>
        <v>1</v>
      </c>
      <c r="AE6" s="24">
        <f t="shared" si="9"/>
        <v>0</v>
      </c>
      <c r="AF6" s="24">
        <f t="shared" si="10"/>
        <v>0</v>
      </c>
    </row>
    <row r="7" spans="1:32" x14ac:dyDescent="0.2">
      <c r="A7" s="131" t="str">
        <f>CONCATENATE("Čtyřhra ",úvod!$C$8,"M - 1.kolo")</f>
        <v>Čtyřhra U19M - 1.kolo</v>
      </c>
      <c r="B7" s="131">
        <f>'čt. M'!$B$23</f>
        <v>0</v>
      </c>
      <c r="C7" s="131" t="str">
        <f>IF($B7=0,"bye",VLOOKUP($B7,sez!$A$2:$D$259,2))</f>
        <v>bye</v>
      </c>
      <c r="D7" s="131" t="str">
        <f>IF($B7=0,"",VLOOKUP($B7,sez!$A$2:$D$259,4))</f>
        <v/>
      </c>
      <c r="E7" s="131" t="str">
        <f>'čt. M'!$B$24</f>
        <v/>
      </c>
      <c r="F7" s="131" t="str">
        <f>IF($E7="","bye",VLOOKUP($E7,sez!$A$2:$D$259,2))</f>
        <v>bye</v>
      </c>
      <c r="G7" s="131" t="str">
        <f>IF($E7="","",VLOOKUP($E7,sez!$A$2:$D$259,4))</f>
        <v/>
      </c>
      <c r="H7" s="131">
        <f>'čt. M'!$B$25</f>
        <v>12</v>
      </c>
      <c r="I7" s="131" t="str">
        <f>IF($H7=0,"bye",VLOOKUP($H7,sez!$A$2:$D$259,2))</f>
        <v>Horníček Lukáš</v>
      </c>
      <c r="J7" s="131" t="str">
        <f>IF($H7=0,"",VLOOKUP($H7,sez!$A$2:$D$259,4))</f>
        <v>MS Brno</v>
      </c>
      <c r="K7" s="131">
        <f>'čt. M'!$B$26</f>
        <v>13</v>
      </c>
      <c r="L7" s="131" t="str">
        <f>IF($K7="","bye",VLOOKUP($K7,sez!$A$2:$D$259,2))</f>
        <v>Havránek Ondřej</v>
      </c>
      <c r="M7" s="131" t="str">
        <f>IF($K7="","",VLOOKUP($K7,sez!$A$2:$D$259,4))</f>
        <v>MS Brno</v>
      </c>
      <c r="N7" s="65" t="s">
        <v>84</v>
      </c>
      <c r="O7" s="66" t="s">
        <v>84</v>
      </c>
      <c r="P7" s="66" t="s">
        <v>84</v>
      </c>
      <c r="Q7" s="66"/>
      <c r="R7" s="67"/>
      <c r="S7" s="2">
        <f t="shared" si="0"/>
        <v>0</v>
      </c>
      <c r="T7" s="2">
        <f t="shared" si="1"/>
        <v>3</v>
      </c>
      <c r="U7" s="2">
        <f t="shared" si="2"/>
        <v>12</v>
      </c>
      <c r="V7" s="2" t="str">
        <f>IF($U7=0,"",VLOOKUP($U7,sez!$A$2:$D$259,2))</f>
        <v>Horníček Lukáš</v>
      </c>
      <c r="W7" s="2">
        <f t="shared" si="3"/>
        <v>13</v>
      </c>
      <c r="X7" s="2" t="str">
        <f>IF($W7=0,"",VLOOKUP($W7,sez!$A$2:$D$259,2))</f>
        <v>Havránek Ondřej</v>
      </c>
      <c r="Y7" s="2" t="str">
        <f t="shared" si="4"/>
        <v>3:0 (0,0,0)</v>
      </c>
      <c r="Z7" s="2" t="str">
        <f t="shared" si="5"/>
        <v>3:0 (0,0,0)</v>
      </c>
      <c r="AB7" s="24">
        <f t="shared" si="6"/>
        <v>-1</v>
      </c>
      <c r="AC7" s="24">
        <f t="shared" si="7"/>
        <v>-1</v>
      </c>
      <c r="AD7" s="24">
        <f t="shared" si="8"/>
        <v>-1</v>
      </c>
      <c r="AE7" s="24">
        <f t="shared" si="9"/>
        <v>0</v>
      </c>
      <c r="AF7" s="24">
        <f t="shared" si="10"/>
        <v>0</v>
      </c>
    </row>
    <row r="8" spans="1:32" x14ac:dyDescent="0.2">
      <c r="A8" s="131" t="str">
        <f>CONCATENATE("Čtyřhra ",úvod!$C$8,"M - 1.kolo")</f>
        <v>Čtyřhra U19M - 1.kolo</v>
      </c>
      <c r="B8" s="131">
        <f>'čt. M'!$B$27</f>
        <v>26</v>
      </c>
      <c r="C8" s="131" t="str">
        <f>IF($B8=0,"bye",VLOOKUP($B8,sez!$A$2:$D$259,2))</f>
        <v>Vrtěl Maxim</v>
      </c>
      <c r="D8" s="131" t="str">
        <f>IF($B8=0,"",VLOOKUP($B8,sez!$A$2:$D$259,4))</f>
        <v>KST Blansko</v>
      </c>
      <c r="E8" s="131">
        <f>'čt. M'!$B$28</f>
        <v>27</v>
      </c>
      <c r="F8" s="131" t="str">
        <f>IF($E8="","bye",VLOOKUP($E8,sez!$A$2:$D$259,2))</f>
        <v>Wutka Michal</v>
      </c>
      <c r="G8" s="131" t="str">
        <f>IF($E8="","",VLOOKUP($E8,sez!$A$2:$D$259,4))</f>
        <v>KST Blansko</v>
      </c>
      <c r="H8" s="131">
        <f>'čt. M'!$B$29</f>
        <v>16</v>
      </c>
      <c r="I8" s="131" t="str">
        <f>IF($H8=0,"bye",VLOOKUP($H8,sez!$A$2:$D$259,2))</f>
        <v>Šimeček Robin</v>
      </c>
      <c r="J8" s="131" t="str">
        <f>IF($H8=0,"",VLOOKUP($H8,sez!$A$2:$D$259,4))</f>
        <v>TJ Holásky</v>
      </c>
      <c r="K8" s="131">
        <f>'čt. M'!$B$30</f>
        <v>21</v>
      </c>
      <c r="L8" s="131" t="str">
        <f>IF($K8="","bye",VLOOKUP($K8,sez!$A$2:$D$259,2))</f>
        <v>Lokaj David</v>
      </c>
      <c r="M8" s="131" t="str">
        <f>IF($K8="","",VLOOKUP($K8,sez!$A$2:$D$259,4))</f>
        <v>Letonice</v>
      </c>
      <c r="N8" s="65" t="s">
        <v>79</v>
      </c>
      <c r="O8" s="66" t="s">
        <v>79</v>
      </c>
      <c r="P8" s="66" t="s">
        <v>79</v>
      </c>
      <c r="Q8" s="66"/>
      <c r="R8" s="67"/>
      <c r="S8" s="2">
        <f t="shared" si="0"/>
        <v>0</v>
      </c>
      <c r="T8" s="2">
        <f t="shared" si="1"/>
        <v>3</v>
      </c>
      <c r="U8" s="2">
        <f t="shared" si="2"/>
        <v>16</v>
      </c>
      <c r="V8" s="2" t="str">
        <f>IF($U8=0,"",VLOOKUP($U8,sez!$A$2:$D$259,2))</f>
        <v>Šimeček Robin</v>
      </c>
      <c r="W8" s="2">
        <f t="shared" si="3"/>
        <v>21</v>
      </c>
      <c r="X8" s="2" t="str">
        <f>IF($W8=0,"",VLOOKUP($W8,sez!$A$2:$D$259,2))</f>
        <v>Lokaj David</v>
      </c>
      <c r="Y8" s="2" t="str">
        <f t="shared" si="4"/>
        <v>3:0 (7,7,7)</v>
      </c>
      <c r="Z8" s="2" t="str">
        <f t="shared" si="5"/>
        <v>3:0 (7,7,7)</v>
      </c>
      <c r="AB8" s="24">
        <f t="shared" si="6"/>
        <v>-1</v>
      </c>
      <c r="AC8" s="24">
        <f t="shared" si="7"/>
        <v>-1</v>
      </c>
      <c r="AD8" s="24">
        <f t="shared" si="8"/>
        <v>-1</v>
      </c>
      <c r="AE8" s="24">
        <f t="shared" si="9"/>
        <v>0</v>
      </c>
      <c r="AF8" s="24">
        <f t="shared" si="10"/>
        <v>0</v>
      </c>
    </row>
    <row r="9" spans="1:32" ht="13.5" thickBot="1" x14ac:dyDescent="0.25">
      <c r="A9" s="131" t="str">
        <f>CONCATENATE("Čtyřhra ",úvod!$C$8,"M - 1.kolo")</f>
        <v>Čtyřhra U19M - 1.kolo</v>
      </c>
      <c r="B9" s="131">
        <f>'čt. M'!$B$31</f>
        <v>0</v>
      </c>
      <c r="C9" s="131" t="str">
        <f>IF($B9=0,"bye",VLOOKUP($B9,sez!$A$2:$D$259,2))</f>
        <v>bye</v>
      </c>
      <c r="D9" s="131" t="str">
        <f>IF($B9=0,"",VLOOKUP($B9,sez!$A$2:$D$259,4))</f>
        <v/>
      </c>
      <c r="E9" s="131" t="str">
        <f>'čt. M'!$B$32</f>
        <v/>
      </c>
      <c r="F9" s="131" t="str">
        <f>IF($E9="","bye",VLOOKUP($E9,sez!$A$2:$D$259,2))</f>
        <v>bye</v>
      </c>
      <c r="G9" s="131" t="str">
        <f>IF($E9="","",VLOOKUP($E9,sez!$A$2:$D$259,4))</f>
        <v/>
      </c>
      <c r="H9" s="131">
        <f>'čt. M'!$B$33</f>
        <v>3</v>
      </c>
      <c r="I9" s="131" t="str">
        <f>IF($H9=0,"bye",VLOOKUP($H9,sez!$A$2:$D$259,2))</f>
        <v>Krištof Lukáš</v>
      </c>
      <c r="J9" s="131" t="str">
        <f>IF($H9=0,"",VLOOKUP($H9,sez!$A$2:$D$259,4))</f>
        <v>Tišnov</v>
      </c>
      <c r="K9" s="131">
        <f>'čt. M'!$B$34</f>
        <v>6</v>
      </c>
      <c r="L9" s="131" t="str">
        <f>IF($K9="","bye",VLOOKUP($K9,sez!$A$2:$D$259,2))</f>
        <v>Pařízek Richard</v>
      </c>
      <c r="M9" s="131" t="str">
        <f>IF($K9="","",VLOOKUP($K9,sez!$A$2:$D$259,4))</f>
        <v>SKST Hodonín</v>
      </c>
      <c r="N9" s="68" t="s">
        <v>96</v>
      </c>
      <c r="O9" s="69" t="s">
        <v>84</v>
      </c>
      <c r="P9" s="69"/>
      <c r="Q9" s="69"/>
      <c r="R9" s="70"/>
      <c r="S9" s="2">
        <f t="shared" si="0"/>
        <v>0</v>
      </c>
      <c r="T9" s="2">
        <f t="shared" si="1"/>
        <v>2</v>
      </c>
      <c r="U9" s="2">
        <f t="shared" si="2"/>
        <v>3</v>
      </c>
      <c r="V9" s="2" t="str">
        <f>IF($U9=0,"",VLOOKUP($U9,sez!$A$2:$D$259,2))</f>
        <v>Krištof Lukáš</v>
      </c>
      <c r="W9" s="2">
        <f t="shared" si="3"/>
        <v>6</v>
      </c>
      <c r="X9" s="2" t="str">
        <f>IF($W9=0,"",VLOOKUP($W9,sez!$A$2:$D$259,2))</f>
        <v>Pařízek Richard</v>
      </c>
      <c r="Y9" s="2" t="e">
        <f t="shared" si="4"/>
        <v>#VALUE!</v>
      </c>
      <c r="Z9" s="2" t="str">
        <f t="shared" si="5"/>
        <v/>
      </c>
      <c r="AB9" s="24">
        <f t="shared" si="6"/>
        <v>-1</v>
      </c>
      <c r="AC9" s="24">
        <f t="shared" si="7"/>
        <v>-1</v>
      </c>
      <c r="AD9" s="24">
        <f t="shared" si="8"/>
        <v>0</v>
      </c>
      <c r="AE9" s="24">
        <f t="shared" si="9"/>
        <v>0</v>
      </c>
      <c r="AF9" s="24">
        <f t="shared" si="10"/>
        <v>0</v>
      </c>
    </row>
    <row r="10" spans="1:32" ht="14.25" thickTop="1" thickBot="1" x14ac:dyDescent="0.25"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N10" s="19"/>
      <c r="O10" s="19"/>
      <c r="P10" s="19"/>
      <c r="Q10" s="19"/>
      <c r="R10" s="19"/>
    </row>
    <row r="11" spans="1:32" ht="13.5" thickTop="1" x14ac:dyDescent="0.2">
      <c r="A11" s="2" t="str">
        <f>CONCATENATE("Čtyřhra ",úvod!$C$8,"M - 2.kolo")</f>
        <v>Čtyřhra U19M - 2.kolo</v>
      </c>
      <c r="B11" s="2">
        <f>U2</f>
        <v>2</v>
      </c>
      <c r="C11" s="102" t="str">
        <f>IF($B11=0,"",VLOOKUP($B11,sez!$A$2:$D$259,2))</f>
        <v>Nespěšný Hynek</v>
      </c>
      <c r="D11" s="102" t="str">
        <f>IF($B11=0,"",VLOOKUP($B11,sez!$A$2:$D$259,4))</f>
        <v>MS Brno</v>
      </c>
      <c r="E11" s="102">
        <f>W2</f>
        <v>5</v>
      </c>
      <c r="F11" s="102" t="str">
        <f>IF($E11=0,"",VLOOKUP($E11,sez!$A$2:$D$259,2))</f>
        <v>Drápal Metoděj</v>
      </c>
      <c r="G11" s="102" t="str">
        <f>IF($E11=0,"",VLOOKUP($E11,sez!$A$2:$D$259,4))</f>
        <v>MS Brno</v>
      </c>
      <c r="H11" s="102">
        <f>U3</f>
        <v>11</v>
      </c>
      <c r="I11" s="102" t="str">
        <f>IF($H11=0,"",VLOOKUP($H11,sez!$A$2:$D$259,2))</f>
        <v>Krejčí David</v>
      </c>
      <c r="J11" s="102" t="str">
        <f>IF($H11=0,"",VLOOKUP($H11,sez!$A$2:$D$259,4))</f>
        <v>MS Brno</v>
      </c>
      <c r="K11" s="102">
        <f>W3</f>
        <v>23</v>
      </c>
      <c r="L11" s="102" t="str">
        <f>IF($K11=0,"",VLOOKUP($K11,sez!$A$2:$D$259,2))</f>
        <v>Pluháček Adam</v>
      </c>
      <c r="M11" s="2" t="str">
        <f>IF($K11=0,"",VLOOKUP($K11,sez!$A$2:$D$259,4))</f>
        <v>Sokol Brno I</v>
      </c>
      <c r="N11" s="62" t="s">
        <v>70</v>
      </c>
      <c r="O11" s="63" t="s">
        <v>72</v>
      </c>
      <c r="P11" s="63" t="s">
        <v>87</v>
      </c>
      <c r="Q11" s="63"/>
      <c r="R11" s="64"/>
      <c r="S11" s="2">
        <f>COUNTIF(AB11:AF11,"&gt;0")</f>
        <v>3</v>
      </c>
      <c r="T11" s="2">
        <f>COUNTIF(AB11:AF11,"&lt;0")</f>
        <v>0</v>
      </c>
      <c r="U11" s="2">
        <f>IF(S11=T11,0,IF(S11&gt;T11,B11,H11))</f>
        <v>2</v>
      </c>
      <c r="V11" s="2" t="str">
        <f>IF($U11=0,"",VLOOKUP($U11,sez!$A$2:$D$259,2))</f>
        <v>Nespěšný Hynek</v>
      </c>
      <c r="W11" s="2">
        <f>IF(S11=T11,0,IF(S11&gt;T11,E11,K11))</f>
        <v>5</v>
      </c>
      <c r="X11" s="2" t="str">
        <f>IF($W11=0,"",VLOOKUP($W11,sez!$A$2:$D$259,2))</f>
        <v>Drápal Metoděj</v>
      </c>
      <c r="Y11" s="2" t="str">
        <f>IF(S11=T11,"",IF(S11&gt;T11,CONCATENATE(S11,":",T11," (",N11,",",O11,",",P11,IF(SUM(S11:T11)&gt;3,",",""),Q11,IF(SUM(S11:T11)&gt;4,",",""),R11,")"),CONCATENATE(T11,":",S11," (",-N11,",",-O11,",",-P11,IF(SUM(S11:T11)&gt;3,",",""),IF(SUM(S11:T11)&gt;3,-Q11,""),IF(SUM(S11:T11)&gt;4,",",""),IF(SUM(S11:T11)&gt;4,-R11,""),")")))</f>
        <v>3:0 (5,7,3)</v>
      </c>
      <c r="Z11" s="2" t="str">
        <f>IF(MAX(S11:T11)=3,Y11,"")</f>
        <v>3:0 (5,7,3)</v>
      </c>
      <c r="AB11" s="24">
        <f t="shared" ref="AB11:AF14" si="11">IF(N11="",0,IF(MID(N11,1,1)="-",-1,1))</f>
        <v>1</v>
      </c>
      <c r="AC11" s="24">
        <f t="shared" si="11"/>
        <v>1</v>
      </c>
      <c r="AD11" s="24">
        <f t="shared" si="11"/>
        <v>1</v>
      </c>
      <c r="AE11" s="24">
        <f t="shared" si="11"/>
        <v>0</v>
      </c>
      <c r="AF11" s="24">
        <f t="shared" si="11"/>
        <v>0</v>
      </c>
    </row>
    <row r="12" spans="1:32" x14ac:dyDescent="0.2">
      <c r="A12" s="2" t="str">
        <f>CONCATENATE("Čtyřhra ",úvod!$C$8,"M - 2.kolo")</f>
        <v>Čtyřhra U19M - 2.kolo</v>
      </c>
      <c r="B12" s="2">
        <f>U4</f>
        <v>19</v>
      </c>
      <c r="C12" s="102" t="str">
        <f>IF($B12=0,"",VLOOKUP($B12,sez!$A$2:$D$259,2))</f>
        <v>Chromník Martin</v>
      </c>
      <c r="D12" s="102" t="str">
        <f>IF($B12=0,"",VLOOKUP($B12,sez!$A$2:$D$259,4))</f>
        <v>STP Mikulov</v>
      </c>
      <c r="E12" s="102">
        <f>W4</f>
        <v>7</v>
      </c>
      <c r="F12" s="102" t="str">
        <f>IF($E12=0,"",VLOOKUP($E12,sez!$A$2:$D$259,2))</f>
        <v>Němeček Radek</v>
      </c>
      <c r="G12" s="102" t="str">
        <f>IF($E12=0,"",VLOOKUP($E12,sez!$A$2:$D$259,4))</f>
        <v>MSK Břeclav</v>
      </c>
      <c r="H12" s="102">
        <f>U5</f>
        <v>10</v>
      </c>
      <c r="I12" s="102" t="str">
        <f>IF($H12=0,"",VLOOKUP($H12,sez!$A$2:$D$259,2))</f>
        <v>Vincenec Oliver</v>
      </c>
      <c r="J12" s="102" t="str">
        <f>IF($H12=0,"",VLOOKUP($H12,sez!$A$2:$D$259,4))</f>
        <v>KST Vyškov</v>
      </c>
      <c r="K12" s="102">
        <f>W5</f>
        <v>4</v>
      </c>
      <c r="L12" s="102" t="str">
        <f>IF($K12=0,"",VLOOKUP($K12,sez!$A$2:$D$259,2))</f>
        <v>Luska Petr</v>
      </c>
      <c r="M12" s="2" t="str">
        <f>IF($K12=0,"",VLOOKUP($K12,sez!$A$2:$D$259,4))</f>
        <v>KST Vyškov</v>
      </c>
      <c r="N12" s="65" t="s">
        <v>93</v>
      </c>
      <c r="O12" s="66" t="s">
        <v>79</v>
      </c>
      <c r="P12" s="66" t="s">
        <v>72</v>
      </c>
      <c r="Q12" s="66" t="s">
        <v>79</v>
      </c>
      <c r="R12" s="67"/>
      <c r="S12" s="2">
        <f>COUNTIF(AB12:AF12,"&gt;0")</f>
        <v>1</v>
      </c>
      <c r="T12" s="2">
        <f>COUNTIF(AB12:AF12,"&lt;0")</f>
        <v>3</v>
      </c>
      <c r="U12" s="2">
        <f>IF(S12=T12,0,IF(S12&gt;T12,B12,H12))</f>
        <v>10</v>
      </c>
      <c r="V12" s="2" t="str">
        <f>IF($U12=0,"",VLOOKUP($U12,sez!$A$2:$D$259,2))</f>
        <v>Vincenec Oliver</v>
      </c>
      <c r="W12" s="2">
        <f>IF(S12=T12,0,IF(S12&gt;T12,E12,K12))</f>
        <v>4</v>
      </c>
      <c r="X12" s="2" t="str">
        <f>IF($W12=0,"",VLOOKUP($W12,sez!$A$2:$D$259,2))</f>
        <v>Luska Petr</v>
      </c>
      <c r="Y12" s="2" t="str">
        <f>IF(S12=T12,"",IF(S12&gt;T12,CONCATENATE(S12,":",T12," (",N12,",",O12,",",P12,IF(SUM(S12:T12)&gt;3,",",""),Q12,IF(SUM(S12:T12)&gt;4,",",""),R12,")"),CONCATENATE(T12,":",S12," (",-N12,",",-O12,",",-P12,IF(SUM(S12:T12)&gt;3,",",""),IF(SUM(S12:T12)&gt;3,-Q12,""),IF(SUM(S12:T12)&gt;4,",",""),IF(SUM(S12:T12)&gt;4,-R12,""),")")))</f>
        <v>3:1 (12,7,-7,7)</v>
      </c>
      <c r="Z12" s="2" t="str">
        <f>IF(MAX(S12:T12)=3,Y12,"")</f>
        <v>3:1 (12,7,-7,7)</v>
      </c>
      <c r="AB12" s="24">
        <f t="shared" si="11"/>
        <v>-1</v>
      </c>
      <c r="AC12" s="24">
        <f t="shared" si="11"/>
        <v>-1</v>
      </c>
      <c r="AD12" s="24">
        <f t="shared" si="11"/>
        <v>1</v>
      </c>
      <c r="AE12" s="24">
        <f t="shared" si="11"/>
        <v>-1</v>
      </c>
      <c r="AF12" s="24">
        <f t="shared" si="11"/>
        <v>0</v>
      </c>
    </row>
    <row r="13" spans="1:32" x14ac:dyDescent="0.2">
      <c r="A13" s="2" t="str">
        <f>CONCATENATE("Čtyřhra ",úvod!$C$8,"M - 2.kolo")</f>
        <v>Čtyřhra U19M - 2.kolo</v>
      </c>
      <c r="B13" s="2">
        <f>U6</f>
        <v>8</v>
      </c>
      <c r="C13" s="102" t="str">
        <f>IF($B13=0,"",VLOOKUP($B13,sez!$A$2:$D$259,2))</f>
        <v>Pokorný Martin</v>
      </c>
      <c r="D13" s="102" t="str">
        <f>IF($B13=0,"",VLOOKUP($B13,sez!$A$2:$D$259,4))</f>
        <v>KST Blansko</v>
      </c>
      <c r="E13" s="102">
        <f>W6</f>
        <v>9</v>
      </c>
      <c r="F13" s="102" t="str">
        <f>IF($E13=0,"",VLOOKUP($E13,sez!$A$2:$D$259,2))</f>
        <v>Štěpánek Ondřej</v>
      </c>
      <c r="G13" s="102" t="str">
        <f>IF($E13=0,"",VLOOKUP($E13,sez!$A$2:$D$259,4))</f>
        <v>KST Blansko</v>
      </c>
      <c r="H13" s="102">
        <f>U7</f>
        <v>12</v>
      </c>
      <c r="I13" s="102" t="str">
        <f>IF($H13=0,"",VLOOKUP($H13,sez!$A$2:$D$259,2))</f>
        <v>Horníček Lukáš</v>
      </c>
      <c r="J13" s="102" t="str">
        <f>IF($H13=0,"",VLOOKUP($H13,sez!$A$2:$D$259,4))</f>
        <v>MS Brno</v>
      </c>
      <c r="K13" s="102">
        <f>W7</f>
        <v>13</v>
      </c>
      <c r="L13" s="102" t="str">
        <f>IF($K13=0,"",VLOOKUP($K13,sez!$A$2:$D$259,2))</f>
        <v>Havránek Ondřej</v>
      </c>
      <c r="M13" s="2" t="str">
        <f>IF($K13=0,"",VLOOKUP($K13,sez!$A$2:$D$259,4))</f>
        <v>MS Brno</v>
      </c>
      <c r="N13" s="65" t="s">
        <v>79</v>
      </c>
      <c r="O13" s="66" t="s">
        <v>77</v>
      </c>
      <c r="P13" s="66" t="s">
        <v>71</v>
      </c>
      <c r="Q13" s="66" t="s">
        <v>87</v>
      </c>
      <c r="R13" s="67" t="s">
        <v>71</v>
      </c>
      <c r="S13" s="2">
        <f>COUNTIF(AB13:AF13,"&gt;0")</f>
        <v>3</v>
      </c>
      <c r="T13" s="2">
        <f>COUNTIF(AB13:AF13,"&lt;0")</f>
        <v>2</v>
      </c>
      <c r="U13" s="2">
        <f>IF(S13=T13,0,IF(S13&gt;T13,B13,H13))</f>
        <v>8</v>
      </c>
      <c r="V13" s="2" t="str">
        <f>IF($U13=0,"",VLOOKUP($U13,sez!$A$2:$D$259,2))</f>
        <v>Pokorný Martin</v>
      </c>
      <c r="W13" s="2">
        <f>IF(S13=T13,0,IF(S13&gt;T13,E13,K13))</f>
        <v>9</v>
      </c>
      <c r="X13" s="2" t="str">
        <f>IF($W13=0,"",VLOOKUP($W13,sez!$A$2:$D$259,2))</f>
        <v>Štěpánek Ondřej</v>
      </c>
      <c r="Y13" s="2" t="str">
        <f>IF(S13=T13,"",IF(S13&gt;T13,CONCATENATE(S13,":",T13," (",N13,",",O13,",",P13,IF(SUM(S13:T13)&gt;3,",",""),Q13,IF(SUM(S13:T13)&gt;4,",",""),R13,")"),CONCATENATE(T13,":",S13," (",-N13,",",-O13,",",-P13,IF(SUM(S13:T13)&gt;3,",",""),IF(SUM(S13:T13)&gt;3,-Q13,""),IF(SUM(S13:T13)&gt;4,",",""),IF(SUM(S13:T13)&gt;4,-R13,""),")")))</f>
        <v>3:2 (-7,-8,9,3,9)</v>
      </c>
      <c r="Z13" s="2" t="str">
        <f>IF(MAX(S13:T13)=3,Y13,"")</f>
        <v>3:2 (-7,-8,9,3,9)</v>
      </c>
      <c r="AB13" s="24">
        <f t="shared" si="11"/>
        <v>-1</v>
      </c>
      <c r="AC13" s="24">
        <f t="shared" si="11"/>
        <v>-1</v>
      </c>
      <c r="AD13" s="24">
        <f t="shared" si="11"/>
        <v>1</v>
      </c>
      <c r="AE13" s="24">
        <f t="shared" si="11"/>
        <v>1</v>
      </c>
      <c r="AF13" s="24">
        <f t="shared" si="11"/>
        <v>1</v>
      </c>
    </row>
    <row r="14" spans="1:32" ht="13.5" thickBot="1" x14ac:dyDescent="0.25">
      <c r="A14" s="2" t="str">
        <f>CONCATENATE("Čtyřhra ",úvod!$C$8,"M - 2.kolo")</f>
        <v>Čtyřhra U19M - 2.kolo</v>
      </c>
      <c r="B14" s="2">
        <f>U8</f>
        <v>16</v>
      </c>
      <c r="C14" s="102" t="str">
        <f>IF($B14=0,"",VLOOKUP($B14,sez!$A$2:$D$259,2))</f>
        <v>Šimeček Robin</v>
      </c>
      <c r="D14" s="102" t="str">
        <f>IF($B14=0,"",VLOOKUP($B14,sez!$A$2:$D$259,4))</f>
        <v>TJ Holásky</v>
      </c>
      <c r="E14" s="102">
        <f>W8</f>
        <v>21</v>
      </c>
      <c r="F14" s="102" t="str">
        <f>IF($E14=0,"",VLOOKUP($E14,sez!$A$2:$D$259,2))</f>
        <v>Lokaj David</v>
      </c>
      <c r="G14" s="102" t="str">
        <f>IF($E14=0,"",VLOOKUP($E14,sez!$A$2:$D$259,4))</f>
        <v>Letonice</v>
      </c>
      <c r="H14" s="102">
        <f>U9</f>
        <v>3</v>
      </c>
      <c r="I14" s="102" t="str">
        <f>IF($H14=0,"",VLOOKUP($H14,sez!$A$2:$D$259,2))</f>
        <v>Krištof Lukáš</v>
      </c>
      <c r="J14" s="102" t="str">
        <f>IF($H14=0,"",VLOOKUP($H14,sez!$A$2:$D$259,4))</f>
        <v>Tišnov</v>
      </c>
      <c r="K14" s="102">
        <f>W9</f>
        <v>6</v>
      </c>
      <c r="L14" s="102" t="str">
        <f>IF($K14=0,"",VLOOKUP($K14,sez!$A$2:$D$259,2))</f>
        <v>Pařízek Richard</v>
      </c>
      <c r="M14" s="2" t="str">
        <f>IF($K14=0,"",VLOOKUP($K14,sez!$A$2:$D$259,4))</f>
        <v>SKST Hodonín</v>
      </c>
      <c r="N14" s="68" t="s">
        <v>79</v>
      </c>
      <c r="O14" s="69" t="s">
        <v>73</v>
      </c>
      <c r="P14" s="69" t="s">
        <v>80</v>
      </c>
      <c r="Q14" s="69"/>
      <c r="R14" s="70"/>
      <c r="S14" s="2">
        <f>COUNTIF(AB14:AF14,"&gt;0")</f>
        <v>0</v>
      </c>
      <c r="T14" s="2">
        <f>COUNTIF(AB14:AF14,"&lt;0")</f>
        <v>3</v>
      </c>
      <c r="U14" s="2">
        <f>IF(S14=T14,0,IF(S14&gt;T14,B14,H14))</f>
        <v>3</v>
      </c>
      <c r="V14" s="2" t="str">
        <f>IF($U14=0,"",VLOOKUP($U14,sez!$A$2:$D$259,2))</f>
        <v>Krištof Lukáš</v>
      </c>
      <c r="W14" s="2">
        <f>IF(S14=T14,0,IF(S14&gt;T14,E14,K14))</f>
        <v>6</v>
      </c>
      <c r="X14" s="2" t="str">
        <f>IF($W14=0,"",VLOOKUP($W14,sez!$A$2:$D$259,2))</f>
        <v>Pařízek Richard</v>
      </c>
      <c r="Y14" s="2" t="str">
        <f>IF(S14=T14,"",IF(S14&gt;T14,CONCATENATE(S14,":",T14," (",N14,",",O14,",",P14,IF(SUM(S14:T14)&gt;3,",",""),Q14,IF(SUM(S14:T14)&gt;4,",",""),R14,")"),CONCATENATE(T14,":",S14," (",-N14,",",-O14,",",-P14,IF(SUM(S14:T14)&gt;3,",",""),IF(SUM(S14:T14)&gt;3,-Q14,""),IF(SUM(S14:T14)&gt;4,",",""),IF(SUM(S14:T14)&gt;4,-R14,""),")")))</f>
        <v>3:0 (7,4,5)</v>
      </c>
      <c r="Z14" s="2" t="str">
        <f>IF(MAX(S14:T14)=3,Y14,"")</f>
        <v>3:0 (7,4,5)</v>
      </c>
      <c r="AB14" s="24">
        <f t="shared" si="11"/>
        <v>-1</v>
      </c>
      <c r="AC14" s="24">
        <f t="shared" si="11"/>
        <v>-1</v>
      </c>
      <c r="AD14" s="24">
        <f t="shared" si="11"/>
        <v>-1</v>
      </c>
      <c r="AE14" s="24">
        <f t="shared" si="11"/>
        <v>0</v>
      </c>
      <c r="AF14" s="24">
        <f t="shared" si="11"/>
        <v>0</v>
      </c>
    </row>
    <row r="15" spans="1:32" ht="14.25" thickTop="1" thickBot="1" x14ac:dyDescent="0.25"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N15" s="19"/>
      <c r="O15" s="19"/>
      <c r="P15" s="19"/>
      <c r="Q15" s="19"/>
      <c r="R15" s="19"/>
    </row>
    <row r="16" spans="1:32" ht="13.5" thickTop="1" x14ac:dyDescent="0.2">
      <c r="A16" s="2" t="str">
        <f>CONCATENATE("Čtyřhra ",úvod!$C$8,"M - semifinále")</f>
        <v>Čtyřhra U19M - semifinále</v>
      </c>
      <c r="B16" s="2">
        <f>U11</f>
        <v>2</v>
      </c>
      <c r="C16" s="102" t="str">
        <f>IF($B16=0,"",VLOOKUP($B16,sez!$A$2:$D$259,2))</f>
        <v>Nespěšný Hynek</v>
      </c>
      <c r="D16" s="102" t="str">
        <f>IF($B16=0,"",VLOOKUP($B16,sez!$A$2:$D$259,4))</f>
        <v>MS Brno</v>
      </c>
      <c r="E16" s="102">
        <f>W11</f>
        <v>5</v>
      </c>
      <c r="F16" s="102" t="str">
        <f>IF($E16=0,"",VLOOKUP($E16,sez!$A$2:$D$259,2))</f>
        <v>Drápal Metoděj</v>
      </c>
      <c r="G16" s="102" t="str">
        <f>IF($E16=0,"",VLOOKUP($E16,sez!$A$2:$D$259,4))</f>
        <v>MS Brno</v>
      </c>
      <c r="H16" s="102">
        <f>U12</f>
        <v>10</v>
      </c>
      <c r="I16" s="102" t="str">
        <f>IF($H16=0,"",VLOOKUP($H16,sez!$A$2:$D$259,2))</f>
        <v>Vincenec Oliver</v>
      </c>
      <c r="J16" s="102" t="str">
        <f>IF($H16=0,"",VLOOKUP($H16,sez!$A$2:$D$259,4))</f>
        <v>KST Vyškov</v>
      </c>
      <c r="K16" s="102">
        <f>W12</f>
        <v>4</v>
      </c>
      <c r="L16" s="102" t="str">
        <f>IF($K16=0,"",VLOOKUP($K16,sez!$A$2:$D$259,2))</f>
        <v>Luska Petr</v>
      </c>
      <c r="M16" s="2" t="str">
        <f>IF($K16=0,"",VLOOKUP($K16,sez!$A$2:$D$259,4))</f>
        <v>KST Vyškov</v>
      </c>
      <c r="N16" s="62" t="s">
        <v>71</v>
      </c>
      <c r="O16" s="63" t="s">
        <v>72</v>
      </c>
      <c r="P16" s="63" t="s">
        <v>70</v>
      </c>
      <c r="Q16" s="63"/>
      <c r="R16" s="64"/>
      <c r="S16" s="2">
        <f>COUNTIF(AB16:AF16,"&gt;0")</f>
        <v>3</v>
      </c>
      <c r="T16" s="2">
        <f>COUNTIF(AB16:AF16,"&lt;0")</f>
        <v>0</v>
      </c>
      <c r="U16" s="2">
        <f>IF(S16=T16,0,IF(S16&gt;T16,B16,H16))</f>
        <v>2</v>
      </c>
      <c r="V16" s="2" t="str">
        <f>IF($U16=0,"",VLOOKUP($U16,sez!$A$2:$D$259,2))</f>
        <v>Nespěšný Hynek</v>
      </c>
      <c r="W16" s="2">
        <f>IF(S16=T16,0,IF(S16&gt;T16,E16,K16))</f>
        <v>5</v>
      </c>
      <c r="X16" s="2" t="str">
        <f>IF($W16=0,"",VLOOKUP($W16,sez!$A$2:$D$259,2))</f>
        <v>Drápal Metoděj</v>
      </c>
      <c r="Y16" s="2" t="str">
        <f>IF(S16=T16,"",IF(S16&gt;T16,CONCATENATE(S16,":",T16," (",N16,",",O16,",",P16,IF(SUM(S16:T16)&gt;3,",",""),Q16,IF(SUM(S16:T16)&gt;4,",",""),R16,")"),CONCATENATE(T16,":",S16," (",-N16,",",-O16,",",-P16,IF(SUM(S16:T16)&gt;3,",",""),IF(SUM(S16:T16)&gt;3,-Q16,""),IF(SUM(S16:T16)&gt;4,",",""),IF(SUM(S16:T16)&gt;4,-R16,""),")")))</f>
        <v>3:0 (9,7,5)</v>
      </c>
      <c r="Z16" s="2" t="str">
        <f>IF(MAX(S16:T16)=3,Y16,"")</f>
        <v>3:0 (9,7,5)</v>
      </c>
      <c r="AB16" s="24">
        <f t="shared" ref="AB16:AF17" si="12">IF(N16="",0,IF(MID(N16,1,1)="-",-1,1))</f>
        <v>1</v>
      </c>
      <c r="AC16" s="24">
        <f t="shared" si="12"/>
        <v>1</v>
      </c>
      <c r="AD16" s="24">
        <f t="shared" si="12"/>
        <v>1</v>
      </c>
      <c r="AE16" s="24">
        <f t="shared" si="12"/>
        <v>0</v>
      </c>
      <c r="AF16" s="24">
        <f t="shared" si="12"/>
        <v>0</v>
      </c>
    </row>
    <row r="17" spans="1:32" ht="13.5" thickBot="1" x14ac:dyDescent="0.25">
      <c r="A17" s="2" t="str">
        <f>CONCATENATE("Čtyřhra ",úvod!$C$8,"M - semifinále")</f>
        <v>Čtyřhra U19M - semifinále</v>
      </c>
      <c r="B17" s="2">
        <f>U13</f>
        <v>8</v>
      </c>
      <c r="C17" s="102" t="str">
        <f>IF($B17=0,"",VLOOKUP($B17,sez!$A$2:$D$259,2))</f>
        <v>Pokorný Martin</v>
      </c>
      <c r="D17" s="102" t="str">
        <f>IF($B17=0,"",VLOOKUP($B17,sez!$A$2:$D$259,4))</f>
        <v>KST Blansko</v>
      </c>
      <c r="E17" s="102">
        <f>W13</f>
        <v>9</v>
      </c>
      <c r="F17" s="102" t="str">
        <f>IF($E17=0,"",VLOOKUP($E17,sez!$A$2:$D$259,2))</f>
        <v>Štěpánek Ondřej</v>
      </c>
      <c r="G17" s="102" t="str">
        <f>IF($E17=0,"",VLOOKUP($E17,sez!$A$2:$D$259,4))</f>
        <v>KST Blansko</v>
      </c>
      <c r="H17" s="102">
        <f>U14</f>
        <v>3</v>
      </c>
      <c r="I17" s="102" t="str">
        <f>IF($H17=0,"",VLOOKUP($H17,sez!$A$2:$D$259,2))</f>
        <v>Krištof Lukáš</v>
      </c>
      <c r="J17" s="102" t="str">
        <f>IF($H17=0,"",VLOOKUP($H17,sez!$A$2:$D$259,4))</f>
        <v>Tišnov</v>
      </c>
      <c r="K17" s="102">
        <f>W14</f>
        <v>6</v>
      </c>
      <c r="L17" s="102" t="str">
        <f>IF($K17=0,"",VLOOKUP($K17,sez!$A$2:$D$259,2))</f>
        <v>Pařízek Richard</v>
      </c>
      <c r="M17" s="2" t="str">
        <f>IF($K17=0,"",VLOOKUP($K17,sez!$A$2:$D$259,4))</f>
        <v>SKST Hodonín</v>
      </c>
      <c r="N17" s="68" t="s">
        <v>80</v>
      </c>
      <c r="O17" s="69" t="s">
        <v>81</v>
      </c>
      <c r="P17" s="69" t="s">
        <v>75</v>
      </c>
      <c r="Q17" s="69"/>
      <c r="R17" s="70"/>
      <c r="S17" s="2">
        <f>COUNTIF(AB17:AF17,"&gt;0")</f>
        <v>0</v>
      </c>
      <c r="T17" s="2">
        <f>COUNTIF(AB17:AF17,"&lt;0")</f>
        <v>3</v>
      </c>
      <c r="U17" s="2">
        <f>IF(S17=T17,0,IF(S17&gt;T17,B17,H17))</f>
        <v>3</v>
      </c>
      <c r="V17" s="2" t="str">
        <f>IF($U17=0,"",VLOOKUP($U17,sez!$A$2:$D$259,2))</f>
        <v>Krištof Lukáš</v>
      </c>
      <c r="W17" s="2">
        <f>IF(S17=T17,0,IF(S17&gt;T17,E17,K17))</f>
        <v>6</v>
      </c>
      <c r="X17" s="2" t="str">
        <f>IF($W17=0,"",VLOOKUP($W17,sez!$A$2:$D$259,2))</f>
        <v>Pařízek Richard</v>
      </c>
      <c r="Y17" s="2" t="str">
        <f>IF(S17=T17,"",IF(S17&gt;T17,CONCATENATE(S17,":",T17," (",N17,",",O17,",",P17,IF(SUM(S17:T17)&gt;3,",",""),Q17,IF(SUM(S17:T17)&gt;4,",",""),R17,")"),CONCATENATE(T17,":",S17," (",-N17,",",-O17,",",-P17,IF(SUM(S17:T17)&gt;3,",",""),IF(SUM(S17:T17)&gt;3,-Q17,""),IF(SUM(S17:T17)&gt;4,",",""),IF(SUM(S17:T17)&gt;4,-R17,""),")")))</f>
        <v>3:0 (5,6,9)</v>
      </c>
      <c r="Z17" s="2" t="str">
        <f>IF(MAX(S17:T17)=3,Y17,"")</f>
        <v>3:0 (5,6,9)</v>
      </c>
      <c r="AB17" s="24">
        <f t="shared" si="12"/>
        <v>-1</v>
      </c>
      <c r="AC17" s="24">
        <f t="shared" si="12"/>
        <v>-1</v>
      </c>
      <c r="AD17" s="24">
        <f t="shared" si="12"/>
        <v>-1</v>
      </c>
      <c r="AE17" s="24">
        <f t="shared" si="12"/>
        <v>0</v>
      </c>
      <c r="AF17" s="24">
        <f t="shared" si="12"/>
        <v>0</v>
      </c>
    </row>
    <row r="18" spans="1:32" ht="14.25" thickTop="1" thickBot="1" x14ac:dyDescent="0.25">
      <c r="C18" s="102"/>
      <c r="D18" s="102"/>
      <c r="E18" s="102"/>
      <c r="F18" s="102"/>
      <c r="G18" s="102"/>
      <c r="H18" s="102"/>
      <c r="I18" s="102"/>
      <c r="J18" s="102"/>
      <c r="K18" s="102"/>
      <c r="L18" s="102"/>
    </row>
    <row r="19" spans="1:32" ht="14.25" thickTop="1" thickBot="1" x14ac:dyDescent="0.25">
      <c r="A19" s="2" t="str">
        <f>CONCATENATE("Čtyřhra ",úvod!$C$8,"M - finále")</f>
        <v>Čtyřhra U19M - finále</v>
      </c>
      <c r="B19" s="2">
        <f>U16</f>
        <v>2</v>
      </c>
      <c r="C19" s="102" t="str">
        <f>IF($B19=0,"",VLOOKUP($B19,sez!$A$2:$D$259,2))</f>
        <v>Nespěšný Hynek</v>
      </c>
      <c r="D19" s="102" t="str">
        <f>IF($B19=0,"",VLOOKUP($B19,sez!$A$2:$D$259,4))</f>
        <v>MS Brno</v>
      </c>
      <c r="E19" s="102">
        <f>W16</f>
        <v>5</v>
      </c>
      <c r="F19" s="102" t="str">
        <f>IF($E19=0,"",VLOOKUP($E19,sez!$A$2:$D$259,2))</f>
        <v>Drápal Metoděj</v>
      </c>
      <c r="G19" s="102" t="str">
        <f>IF($E19=0,"",VLOOKUP($E19,sez!$A$2:$D$259,4))</f>
        <v>MS Brno</v>
      </c>
      <c r="H19" s="102">
        <f>U17</f>
        <v>3</v>
      </c>
      <c r="I19" s="102" t="str">
        <f>IF($H19=0,"",VLOOKUP($H19,sez!$A$2:$D$259,2))</f>
        <v>Krištof Lukáš</v>
      </c>
      <c r="J19" s="102" t="str">
        <f>IF($H19=0,"",VLOOKUP($H19,sez!$A$2:$D$259,4))</f>
        <v>Tišnov</v>
      </c>
      <c r="K19" s="102">
        <f>W17</f>
        <v>6</v>
      </c>
      <c r="L19" s="102" t="str">
        <f>IF($K19=0,"",VLOOKUP($K19,sez!$A$2:$D$259,2))</f>
        <v>Pařízek Richard</v>
      </c>
      <c r="M19" s="2" t="str">
        <f>IF($K19=0,"",VLOOKUP($K19,sez!$A$2:$D$259,4))</f>
        <v>SKST Hodonín</v>
      </c>
      <c r="N19" s="71" t="s">
        <v>72</v>
      </c>
      <c r="O19" s="72" t="s">
        <v>77</v>
      </c>
      <c r="P19" s="72" t="s">
        <v>71</v>
      </c>
      <c r="Q19" s="72" t="s">
        <v>75</v>
      </c>
      <c r="R19" s="73" t="s">
        <v>79</v>
      </c>
      <c r="S19" s="2">
        <f>COUNTIF(AB19:AF19,"&gt;0")</f>
        <v>2</v>
      </c>
      <c r="T19" s="2">
        <f>COUNTIF(AB19:AF19,"&lt;0")</f>
        <v>3</v>
      </c>
      <c r="U19" s="2">
        <f>IF(S19=T19,0,IF(S19&gt;T19,B19,H19))</f>
        <v>3</v>
      </c>
      <c r="V19" s="2" t="str">
        <f>IF($U19=0,"",VLOOKUP($U19,sez!$A$2:$D$259,2))</f>
        <v>Krištof Lukáš</v>
      </c>
      <c r="W19" s="2">
        <f>IF(S19=T19,0,IF(S19&gt;T19,E19,K19))</f>
        <v>6</v>
      </c>
      <c r="X19" s="2" t="str">
        <f>IF($W19=0,"",VLOOKUP($W19,sez!$A$2:$D$259,2))</f>
        <v>Pařízek Richard</v>
      </c>
      <c r="Y19" s="2" t="str">
        <f>IF(S19=T19,"",IF(S19&gt;T19,CONCATENATE(S19,":",T19," (",N19,",",O19,",",P19,IF(SUM(S19:T19)&gt;3,",",""),Q19,IF(SUM(S19:T19)&gt;4,",",""),R19,")"),CONCATENATE(T19,":",S19," (",-N19,",",-O19,",",-P19,IF(SUM(S19:T19)&gt;3,",",""),IF(SUM(S19:T19)&gt;3,-Q19,""),IF(SUM(S19:T19)&gt;4,",",""),IF(SUM(S19:T19)&gt;4,-R19,""),")")))</f>
        <v>3:2 (-7,8,-9,9,7)</v>
      </c>
      <c r="Z19" s="2" t="str">
        <f>IF(MAX(S19:T19)=3,Y19,"")</f>
        <v>3:2 (-7,8,-9,9,7)</v>
      </c>
      <c r="AB19" s="24">
        <f>IF(N19="",0,IF(MID(N19,1,1)="-",-1,1))</f>
        <v>1</v>
      </c>
      <c r="AC19" s="24">
        <f>IF(O19="",0,IF(MID(O19,1,1)="-",-1,1))</f>
        <v>-1</v>
      </c>
      <c r="AD19" s="24">
        <f>IF(P19="",0,IF(MID(P19,1,1)="-",-1,1))</f>
        <v>1</v>
      </c>
      <c r="AE19" s="24">
        <f>IF(Q19="",0,IF(MID(Q19,1,1)="-",-1,1))</f>
        <v>-1</v>
      </c>
      <c r="AF19" s="24">
        <f>IF(R19="",0,IF(MID(R19,1,1)="-",-1,1))</f>
        <v>-1</v>
      </c>
    </row>
    <row r="20" spans="1:32" ht="13.5" thickTop="1" x14ac:dyDescent="0.2">
      <c r="C20" s="102"/>
      <c r="D20" s="102"/>
      <c r="E20" s="102"/>
      <c r="F20" s="102"/>
      <c r="G20" s="102"/>
      <c r="H20" s="102"/>
      <c r="I20" s="102"/>
      <c r="J20" s="102"/>
      <c r="K20" s="102"/>
      <c r="L20" s="102"/>
    </row>
    <row r="21" spans="1:32" x14ac:dyDescent="0.2">
      <c r="C21" s="102"/>
      <c r="D21" s="102"/>
      <c r="E21" s="102"/>
      <c r="F21" s="102"/>
      <c r="G21" s="102"/>
      <c r="H21" s="102"/>
      <c r="I21" s="102"/>
      <c r="J21" s="102"/>
      <c r="K21" s="102"/>
      <c r="L21" s="102"/>
    </row>
    <row r="22" spans="1:32" x14ac:dyDescent="0.2">
      <c r="C22" s="102"/>
      <c r="D22" s="102"/>
      <c r="E22" s="102"/>
      <c r="F22" s="102"/>
      <c r="G22" s="102"/>
      <c r="H22" s="102"/>
      <c r="I22" s="102"/>
      <c r="J22" s="102"/>
      <c r="K22" s="102"/>
      <c r="L22" s="10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47"/>
  <sheetViews>
    <sheetView topLeftCell="A19" workbookViewId="0">
      <selection activeCell="B48" sqref="B48"/>
    </sheetView>
  </sheetViews>
  <sheetFormatPr defaultRowHeight="10.5" x14ac:dyDescent="0.15"/>
  <cols>
    <col min="1" max="1" width="4.5703125" style="48" bestFit="1" customWidth="1"/>
    <col min="2" max="2" width="17.42578125" style="48" bestFit="1" customWidth="1"/>
    <col min="3" max="3" width="7" style="48" bestFit="1" customWidth="1"/>
    <col min="4" max="4" width="22.28515625" style="48" bestFit="1" customWidth="1"/>
    <col min="5" max="5" width="7.85546875" style="48" bestFit="1" customWidth="1"/>
    <col min="6" max="16384" width="9.140625" style="48"/>
  </cols>
  <sheetData>
    <row r="1" spans="1:26" ht="12.75" x14ac:dyDescent="0.2">
      <c r="A1" s="48" t="s">
        <v>19</v>
      </c>
      <c r="B1" s="48" t="s">
        <v>12</v>
      </c>
      <c r="C1" s="48" t="s">
        <v>20</v>
      </c>
      <c r="D1" s="48" t="s">
        <v>13</v>
      </c>
      <c r="E1" s="48" t="s">
        <v>35</v>
      </c>
      <c r="K1" s="147"/>
      <c r="L1" s="147"/>
      <c r="M1" s="147"/>
      <c r="N1" s="147"/>
      <c r="O1" s="147"/>
      <c r="T1" s="147"/>
      <c r="U1" s="147"/>
      <c r="V1" s="147"/>
      <c r="W1" s="147"/>
      <c r="X1" s="147"/>
      <c r="Y1" s="147"/>
      <c r="Z1" s="147"/>
    </row>
    <row r="2" spans="1:26" ht="12.75" x14ac:dyDescent="0.2">
      <c r="A2" s="52">
        <v>1</v>
      </c>
      <c r="B2" s="141"/>
      <c r="C2" s="134"/>
      <c r="D2" s="135"/>
      <c r="E2" s="133"/>
      <c r="F2" s="161" t="s">
        <v>40</v>
      </c>
      <c r="K2" s="147"/>
      <c r="L2" s="138"/>
      <c r="M2" s="140"/>
      <c r="N2" s="140"/>
      <c r="O2" s="140"/>
      <c r="T2" s="147"/>
      <c r="U2" s="147"/>
      <c r="V2" s="148"/>
      <c r="W2" s="149"/>
      <c r="X2" s="149"/>
      <c r="Y2" s="149"/>
      <c r="Z2" s="147"/>
    </row>
    <row r="3" spans="1:26" ht="12.75" x14ac:dyDescent="0.2">
      <c r="A3" s="52">
        <v>2</v>
      </c>
      <c r="B3" s="141" t="s">
        <v>49</v>
      </c>
      <c r="C3" s="136">
        <v>2006</v>
      </c>
      <c r="D3" s="137" t="s">
        <v>112</v>
      </c>
      <c r="E3" s="133">
        <v>6</v>
      </c>
      <c r="F3" s="162"/>
      <c r="K3" s="147"/>
      <c r="L3" s="138"/>
      <c r="M3" s="140"/>
      <c r="N3" s="140"/>
      <c r="O3" s="140"/>
      <c r="T3" s="147"/>
      <c r="U3" s="147"/>
      <c r="V3" s="148"/>
      <c r="W3" s="149"/>
      <c r="X3" s="149"/>
      <c r="Y3" s="149"/>
      <c r="Z3" s="147"/>
    </row>
    <row r="4" spans="1:26" ht="12.75" x14ac:dyDescent="0.2">
      <c r="A4" s="52">
        <v>3</v>
      </c>
      <c r="B4" s="141" t="s">
        <v>52</v>
      </c>
      <c r="C4" s="136">
        <v>2005</v>
      </c>
      <c r="D4" s="137" t="s">
        <v>113</v>
      </c>
      <c r="E4" s="133">
        <v>7</v>
      </c>
      <c r="F4" s="162"/>
      <c r="K4" s="147"/>
      <c r="L4" s="138"/>
      <c r="M4" s="140"/>
      <c r="N4" s="140"/>
      <c r="O4" s="140"/>
      <c r="T4" s="147"/>
      <c r="U4" s="147"/>
      <c r="V4" s="148"/>
      <c r="W4" s="149"/>
      <c r="X4" s="149"/>
      <c r="Y4" s="149"/>
      <c r="Z4" s="147"/>
    </row>
    <row r="5" spans="1:26" ht="12.75" x14ac:dyDescent="0.2">
      <c r="A5" s="52">
        <v>4</v>
      </c>
      <c r="B5" s="141" t="s">
        <v>55</v>
      </c>
      <c r="C5" s="136">
        <v>2007</v>
      </c>
      <c r="D5" s="137" t="s">
        <v>54</v>
      </c>
      <c r="E5" s="133">
        <v>8</v>
      </c>
      <c r="F5" s="162"/>
      <c r="K5" s="147"/>
      <c r="L5" s="138"/>
      <c r="M5" s="140"/>
      <c r="N5" s="140"/>
      <c r="O5" s="140"/>
      <c r="T5" s="147"/>
      <c r="U5" s="147"/>
      <c r="V5" s="148"/>
      <c r="W5" s="149"/>
      <c r="X5" s="149"/>
      <c r="Y5" s="149"/>
      <c r="Z5" s="147"/>
    </row>
    <row r="6" spans="1:26" ht="12.75" x14ac:dyDescent="0.2">
      <c r="A6" s="52">
        <v>5</v>
      </c>
      <c r="B6" s="141" t="s">
        <v>58</v>
      </c>
      <c r="C6" s="139">
        <v>2006</v>
      </c>
      <c r="D6" s="140" t="s">
        <v>112</v>
      </c>
      <c r="E6" s="133">
        <v>10</v>
      </c>
      <c r="F6" s="162"/>
      <c r="K6" s="147"/>
      <c r="L6" s="138"/>
      <c r="M6" s="140"/>
      <c r="N6" s="140"/>
      <c r="O6" s="140"/>
      <c r="T6" s="147"/>
      <c r="U6" s="147"/>
      <c r="V6" s="148"/>
      <c r="W6" s="149"/>
      <c r="X6" s="149"/>
      <c r="Y6" s="149"/>
      <c r="Z6" s="147"/>
    </row>
    <row r="7" spans="1:26" ht="12.75" x14ac:dyDescent="0.2">
      <c r="A7" s="52">
        <v>6</v>
      </c>
      <c r="B7" s="141" t="s">
        <v>59</v>
      </c>
      <c r="C7" s="142">
        <v>2008</v>
      </c>
      <c r="D7" s="142" t="s">
        <v>47</v>
      </c>
      <c r="E7" s="133">
        <v>11</v>
      </c>
      <c r="F7" s="162"/>
      <c r="K7" s="147"/>
      <c r="L7" s="148"/>
      <c r="M7" s="149"/>
      <c r="N7" s="149"/>
      <c r="O7" s="149"/>
      <c r="T7" s="147"/>
      <c r="U7" s="147"/>
      <c r="V7" s="148"/>
      <c r="W7" s="149"/>
      <c r="X7" s="149"/>
      <c r="Y7" s="149"/>
      <c r="Z7" s="147"/>
    </row>
    <row r="8" spans="1:26" ht="12.75" x14ac:dyDescent="0.2">
      <c r="A8" s="52">
        <v>7</v>
      </c>
      <c r="B8" s="141" t="s">
        <v>50</v>
      </c>
      <c r="C8" s="142">
        <v>2003</v>
      </c>
      <c r="D8" s="142" t="s">
        <v>51</v>
      </c>
      <c r="E8" s="133">
        <v>13</v>
      </c>
      <c r="F8" s="162"/>
      <c r="K8" s="147"/>
      <c r="L8" s="148"/>
      <c r="M8" s="149"/>
      <c r="N8" s="149"/>
      <c r="O8" s="149"/>
      <c r="T8" s="147"/>
      <c r="U8" s="147"/>
      <c r="V8" s="148"/>
      <c r="W8" s="149"/>
      <c r="X8" s="149"/>
      <c r="Y8" s="149"/>
      <c r="Z8" s="147"/>
    </row>
    <row r="9" spans="1:26" ht="12.75" x14ac:dyDescent="0.2">
      <c r="A9" s="52">
        <v>8</v>
      </c>
      <c r="B9" s="141" t="s">
        <v>53</v>
      </c>
      <c r="C9" s="142">
        <v>2004</v>
      </c>
      <c r="D9" s="142" t="s">
        <v>48</v>
      </c>
      <c r="E9" s="133">
        <v>13</v>
      </c>
      <c r="F9" s="162"/>
      <c r="K9" s="147"/>
      <c r="L9" s="148"/>
      <c r="M9" s="149"/>
      <c r="N9" s="149"/>
      <c r="O9" s="149"/>
      <c r="T9" s="147"/>
      <c r="U9" s="147"/>
      <c r="V9" s="150"/>
      <c r="W9" s="151"/>
      <c r="X9" s="151"/>
      <c r="Y9" s="151"/>
      <c r="Z9" s="147"/>
    </row>
    <row r="10" spans="1:26" ht="12.75" x14ac:dyDescent="0.2">
      <c r="A10" s="52">
        <v>9</v>
      </c>
      <c r="B10" s="141" t="s">
        <v>134</v>
      </c>
      <c r="C10" s="142">
        <v>2003</v>
      </c>
      <c r="D10" s="142" t="s">
        <v>48</v>
      </c>
      <c r="E10" s="133">
        <v>13</v>
      </c>
      <c r="F10" s="162"/>
      <c r="K10" s="147"/>
      <c r="L10" s="148"/>
      <c r="M10" s="149"/>
      <c r="N10" s="149"/>
      <c r="O10" s="149"/>
      <c r="T10" s="147"/>
      <c r="U10" s="147"/>
      <c r="V10" s="150"/>
      <c r="W10" s="151"/>
      <c r="X10" s="151"/>
      <c r="Y10" s="151"/>
      <c r="Z10" s="147"/>
    </row>
    <row r="11" spans="1:26" ht="12.75" x14ac:dyDescent="0.2">
      <c r="A11" s="52">
        <v>10</v>
      </c>
      <c r="B11" s="141" t="s">
        <v>114</v>
      </c>
      <c r="C11" s="142">
        <v>2007</v>
      </c>
      <c r="D11" s="142" t="s">
        <v>54</v>
      </c>
      <c r="E11" s="133">
        <v>16</v>
      </c>
      <c r="F11" s="162"/>
      <c r="K11" s="147"/>
      <c r="L11" s="148"/>
      <c r="M11" s="149"/>
      <c r="N11" s="149"/>
      <c r="O11" s="149"/>
      <c r="T11" s="147"/>
      <c r="U11" s="147"/>
      <c r="V11" s="150"/>
      <c r="W11" s="151"/>
      <c r="X11" s="151"/>
      <c r="Y11" s="151"/>
      <c r="Z11" s="147"/>
    </row>
    <row r="12" spans="1:26" ht="12.75" x14ac:dyDescent="0.2">
      <c r="A12" s="52">
        <v>11</v>
      </c>
      <c r="B12" s="141" t="s">
        <v>56</v>
      </c>
      <c r="C12" s="142">
        <v>2007</v>
      </c>
      <c r="D12" s="142" t="s">
        <v>112</v>
      </c>
      <c r="E12" s="133">
        <v>19</v>
      </c>
      <c r="F12" s="162"/>
      <c r="K12" s="147"/>
      <c r="L12" s="148"/>
      <c r="M12" s="149"/>
      <c r="N12" s="149"/>
      <c r="O12" s="149"/>
      <c r="T12" s="147"/>
      <c r="U12" s="147"/>
      <c r="V12" s="150"/>
      <c r="W12" s="151"/>
      <c r="X12" s="151"/>
      <c r="Y12" s="151"/>
      <c r="Z12" s="147"/>
    </row>
    <row r="13" spans="1:26" ht="12.75" x14ac:dyDescent="0.2">
      <c r="A13" s="52">
        <v>12</v>
      </c>
      <c r="B13" s="141" t="s">
        <v>60</v>
      </c>
      <c r="C13" s="142">
        <v>2005</v>
      </c>
      <c r="D13" s="142" t="s">
        <v>112</v>
      </c>
      <c r="E13" s="133">
        <v>21</v>
      </c>
      <c r="F13" s="162"/>
      <c r="K13" s="147"/>
      <c r="L13" s="148"/>
      <c r="M13" s="149"/>
      <c r="N13" s="149"/>
      <c r="O13" s="149"/>
      <c r="T13" s="147"/>
      <c r="U13" s="147"/>
      <c r="V13" s="148"/>
      <c r="W13" s="149"/>
      <c r="X13" s="149"/>
      <c r="Y13" s="149"/>
      <c r="Z13" s="147"/>
    </row>
    <row r="14" spans="1:26" ht="12.75" x14ac:dyDescent="0.2">
      <c r="A14" s="52">
        <v>13</v>
      </c>
      <c r="B14" s="141" t="s">
        <v>57</v>
      </c>
      <c r="C14" s="142">
        <v>2005</v>
      </c>
      <c r="D14" s="142" t="s">
        <v>112</v>
      </c>
      <c r="E14" s="133">
        <v>23</v>
      </c>
      <c r="F14" s="162"/>
      <c r="K14" s="147"/>
      <c r="L14" s="148"/>
      <c r="M14" s="149"/>
      <c r="N14" s="149"/>
      <c r="O14" s="149"/>
      <c r="T14" s="147"/>
      <c r="U14" s="147"/>
      <c r="V14" s="138"/>
      <c r="W14" s="140"/>
      <c r="X14" s="149"/>
      <c r="Y14" s="149"/>
      <c r="Z14" s="147"/>
    </row>
    <row r="15" spans="1:26" ht="12.75" x14ac:dyDescent="0.2">
      <c r="A15" s="52">
        <v>14</v>
      </c>
      <c r="B15" s="141"/>
      <c r="C15" s="142"/>
      <c r="D15" s="142"/>
      <c r="E15" s="133"/>
      <c r="F15" s="162"/>
      <c r="K15" s="147"/>
      <c r="L15" s="148"/>
      <c r="M15" s="149"/>
      <c r="N15" s="149"/>
      <c r="O15" s="149"/>
      <c r="T15" s="147"/>
      <c r="U15" s="147"/>
      <c r="V15" s="148"/>
      <c r="W15" s="149"/>
      <c r="X15" s="149"/>
      <c r="Y15" s="149"/>
      <c r="Z15" s="147"/>
    </row>
    <row r="16" spans="1:26" ht="12.75" x14ac:dyDescent="0.2">
      <c r="A16" s="52">
        <v>15</v>
      </c>
      <c r="B16" s="141"/>
      <c r="C16" s="142"/>
      <c r="D16" s="142"/>
      <c r="E16" s="133"/>
      <c r="F16" s="162"/>
      <c r="K16" s="147"/>
      <c r="L16" s="148"/>
      <c r="M16" s="149"/>
      <c r="N16" s="149"/>
      <c r="O16" s="149"/>
      <c r="T16" s="147"/>
      <c r="U16" s="147"/>
      <c r="V16" s="154"/>
      <c r="W16" s="155"/>
      <c r="X16" s="151"/>
      <c r="Y16" s="149"/>
      <c r="Z16" s="147"/>
    </row>
    <row r="17" spans="1:26" ht="12.75" x14ac:dyDescent="0.2">
      <c r="A17" s="52">
        <v>16</v>
      </c>
      <c r="B17" s="143" t="s">
        <v>115</v>
      </c>
      <c r="C17" s="144">
        <v>2006</v>
      </c>
      <c r="D17" s="144" t="s">
        <v>116</v>
      </c>
      <c r="E17" s="133">
        <v>27</v>
      </c>
      <c r="F17" s="162"/>
      <c r="K17" s="147"/>
      <c r="L17" s="148"/>
      <c r="M17" s="149"/>
      <c r="N17" s="149"/>
      <c r="O17" s="149"/>
      <c r="T17" s="147"/>
      <c r="U17" s="147"/>
      <c r="V17" s="148"/>
      <c r="W17" s="149"/>
      <c r="X17" s="149"/>
      <c r="Y17" s="149"/>
      <c r="Z17" s="147"/>
    </row>
    <row r="18" spans="1:26" ht="12.75" x14ac:dyDescent="0.2">
      <c r="A18" s="52">
        <v>17</v>
      </c>
      <c r="B18" s="143"/>
      <c r="C18" s="144"/>
      <c r="D18" s="144"/>
      <c r="E18" s="133"/>
      <c r="F18" s="162"/>
      <c r="K18" s="147"/>
      <c r="L18" s="148"/>
      <c r="M18" s="149"/>
      <c r="N18" s="149"/>
      <c r="O18" s="149"/>
      <c r="T18" s="147"/>
      <c r="U18" s="147"/>
      <c r="V18" s="147"/>
      <c r="W18" s="147"/>
      <c r="X18" s="147"/>
      <c r="Y18" s="147"/>
      <c r="Z18" s="147"/>
    </row>
    <row r="19" spans="1:26" ht="12.75" x14ac:dyDescent="0.2">
      <c r="A19" s="52">
        <v>18</v>
      </c>
      <c r="B19" s="143"/>
      <c r="C19" s="144"/>
      <c r="D19" s="144"/>
      <c r="E19" s="133"/>
      <c r="F19" s="162"/>
      <c r="K19" s="147"/>
      <c r="L19" s="150"/>
      <c r="M19" s="151"/>
      <c r="N19" s="151"/>
      <c r="O19" s="151"/>
    </row>
    <row r="20" spans="1:26" ht="12.75" x14ac:dyDescent="0.2">
      <c r="A20" s="52">
        <v>19</v>
      </c>
      <c r="B20" s="143" t="s">
        <v>128</v>
      </c>
      <c r="C20" s="144">
        <v>2006</v>
      </c>
      <c r="D20" s="144" t="s">
        <v>129</v>
      </c>
      <c r="E20" s="133">
        <v>1001</v>
      </c>
      <c r="F20" s="162"/>
      <c r="K20" s="147"/>
      <c r="L20" s="150"/>
      <c r="M20" s="151"/>
      <c r="N20" s="151"/>
      <c r="O20" s="151"/>
    </row>
    <row r="21" spans="1:26" ht="12.75" x14ac:dyDescent="0.2">
      <c r="A21" s="52">
        <v>20</v>
      </c>
      <c r="B21" s="145" t="s">
        <v>117</v>
      </c>
      <c r="C21" s="146">
        <v>2007</v>
      </c>
      <c r="D21" s="146" t="s">
        <v>118</v>
      </c>
      <c r="E21" s="133">
        <v>1001</v>
      </c>
      <c r="F21" s="162"/>
      <c r="K21" s="147"/>
      <c r="L21" s="150"/>
      <c r="M21" s="151"/>
      <c r="N21" s="151"/>
      <c r="O21" s="151"/>
    </row>
    <row r="22" spans="1:26" ht="12.75" x14ac:dyDescent="0.2">
      <c r="A22" s="52">
        <v>21</v>
      </c>
      <c r="B22" s="143" t="s">
        <v>119</v>
      </c>
      <c r="C22" s="144">
        <v>2004</v>
      </c>
      <c r="D22" s="144" t="s">
        <v>120</v>
      </c>
      <c r="E22" s="133">
        <v>1001</v>
      </c>
      <c r="F22" s="162"/>
      <c r="K22" s="147"/>
      <c r="L22" s="152"/>
      <c r="M22" s="153"/>
      <c r="N22" s="153"/>
      <c r="O22" s="153"/>
    </row>
    <row r="23" spans="1:26" ht="12.75" x14ac:dyDescent="0.2">
      <c r="A23" s="52">
        <v>22</v>
      </c>
      <c r="B23" s="143" t="s">
        <v>121</v>
      </c>
      <c r="C23" s="144">
        <v>2005</v>
      </c>
      <c r="D23" s="144" t="s">
        <v>118</v>
      </c>
      <c r="E23" s="133">
        <v>1001</v>
      </c>
      <c r="F23" s="162"/>
      <c r="K23" s="147"/>
      <c r="L23" s="150"/>
      <c r="M23" s="151"/>
      <c r="N23" s="151"/>
      <c r="O23" s="151"/>
    </row>
    <row r="24" spans="1:26" ht="12.75" x14ac:dyDescent="0.2">
      <c r="A24" s="52">
        <v>23</v>
      </c>
      <c r="B24" s="143" t="s">
        <v>122</v>
      </c>
      <c r="C24" s="144">
        <v>2004</v>
      </c>
      <c r="D24" s="144" t="s">
        <v>123</v>
      </c>
      <c r="E24" s="133">
        <v>1001</v>
      </c>
      <c r="F24" s="162"/>
      <c r="K24" s="147"/>
      <c r="L24" s="150"/>
      <c r="M24" s="151"/>
      <c r="N24" s="151"/>
      <c r="O24" s="151"/>
    </row>
    <row r="25" spans="1:26" ht="12.75" x14ac:dyDescent="0.2">
      <c r="A25" s="52">
        <v>24</v>
      </c>
      <c r="B25" s="143"/>
      <c r="C25" s="144"/>
      <c r="D25" s="144"/>
      <c r="E25" s="133"/>
      <c r="F25" s="162"/>
      <c r="K25" s="147"/>
      <c r="L25" s="150"/>
      <c r="M25" s="151"/>
      <c r="N25" s="151"/>
      <c r="O25" s="151"/>
    </row>
    <row r="26" spans="1:26" ht="12.75" x14ac:dyDescent="0.2">
      <c r="A26" s="52">
        <v>25</v>
      </c>
      <c r="B26" s="143" t="s">
        <v>130</v>
      </c>
      <c r="C26" s="144">
        <v>2008</v>
      </c>
      <c r="D26" s="142" t="s">
        <v>48</v>
      </c>
      <c r="E26" s="133">
        <v>1001</v>
      </c>
      <c r="F26" s="162"/>
      <c r="K26" s="147"/>
      <c r="L26" s="150"/>
      <c r="M26" s="151"/>
      <c r="N26" s="151"/>
      <c r="O26" s="151"/>
    </row>
    <row r="27" spans="1:26" ht="12.75" x14ac:dyDescent="0.2">
      <c r="A27" s="52">
        <v>26</v>
      </c>
      <c r="B27" s="143" t="s">
        <v>132</v>
      </c>
      <c r="C27" s="144">
        <v>2008</v>
      </c>
      <c r="D27" s="142" t="s">
        <v>48</v>
      </c>
      <c r="E27" s="133">
        <v>1001</v>
      </c>
      <c r="F27" s="162"/>
      <c r="K27" s="147"/>
      <c r="L27" s="150"/>
      <c r="M27" s="151"/>
      <c r="N27" s="151"/>
      <c r="O27" s="151"/>
    </row>
    <row r="28" spans="1:26" ht="12.75" x14ac:dyDescent="0.2">
      <c r="A28" s="52">
        <v>27</v>
      </c>
      <c r="B28" s="143" t="s">
        <v>131</v>
      </c>
      <c r="C28" s="144">
        <v>2007</v>
      </c>
      <c r="D28" s="142" t="s">
        <v>48</v>
      </c>
      <c r="E28" s="133">
        <v>1001</v>
      </c>
      <c r="F28" s="162"/>
    </row>
    <row r="29" spans="1:26" x14ac:dyDescent="0.15">
      <c r="A29" s="52">
        <v>28</v>
      </c>
      <c r="F29" s="162"/>
    </row>
    <row r="30" spans="1:26" x14ac:dyDescent="0.15">
      <c r="A30" s="52">
        <v>29</v>
      </c>
      <c r="F30" s="162"/>
    </row>
    <row r="31" spans="1:26" x14ac:dyDescent="0.15">
      <c r="A31" s="52">
        <v>30</v>
      </c>
      <c r="B31" s="129"/>
      <c r="C31" s="129"/>
      <c r="D31" s="129"/>
      <c r="E31" s="129"/>
      <c r="F31" s="162"/>
    </row>
    <row r="32" spans="1:26" x14ac:dyDescent="0.15">
      <c r="A32" s="52">
        <v>31</v>
      </c>
      <c r="B32" s="129"/>
      <c r="C32" s="129"/>
      <c r="D32" s="129"/>
      <c r="E32" s="129"/>
      <c r="F32" s="162"/>
    </row>
    <row r="33" spans="1:6" x14ac:dyDescent="0.15">
      <c r="A33" s="52">
        <v>32</v>
      </c>
      <c r="B33" s="129"/>
      <c r="C33" s="129"/>
      <c r="D33" s="129"/>
      <c r="E33" s="129"/>
      <c r="F33" s="162"/>
    </row>
    <row r="34" spans="1:6" ht="6.95" customHeight="1" x14ac:dyDescent="0.15">
      <c r="A34" s="52">
        <v>33</v>
      </c>
      <c r="B34" s="127"/>
      <c r="C34" s="127"/>
      <c r="D34" s="128"/>
      <c r="E34" s="128"/>
    </row>
    <row r="35" spans="1:6" ht="6.95" customHeight="1" x14ac:dyDescent="0.15">
      <c r="A35" s="52">
        <v>34</v>
      </c>
      <c r="B35" s="127"/>
      <c r="C35" s="127"/>
      <c r="D35" s="128"/>
      <c r="E35" s="128"/>
    </row>
    <row r="36" spans="1:6" ht="6.95" customHeight="1" x14ac:dyDescent="0.15">
      <c r="A36" s="52">
        <v>35</v>
      </c>
      <c r="B36" s="127"/>
      <c r="C36" s="127"/>
      <c r="D36" s="128"/>
      <c r="E36" s="128"/>
    </row>
    <row r="37" spans="1:6" ht="6.95" customHeight="1" x14ac:dyDescent="0.15">
      <c r="A37" s="52">
        <v>36</v>
      </c>
      <c r="B37" s="127"/>
      <c r="C37" s="127"/>
      <c r="D37" s="128"/>
      <c r="E37" s="128"/>
    </row>
    <row r="38" spans="1:6" ht="6.95" customHeight="1" x14ac:dyDescent="0.15">
      <c r="A38" s="52">
        <v>37</v>
      </c>
      <c r="B38" s="127"/>
      <c r="C38" s="127"/>
      <c r="D38" s="128"/>
      <c r="E38" s="128"/>
    </row>
    <row r="39" spans="1:6" ht="6.95" customHeight="1" x14ac:dyDescent="0.15">
      <c r="A39" s="52">
        <v>38</v>
      </c>
      <c r="B39" s="127"/>
      <c r="C39" s="127"/>
      <c r="D39" s="128"/>
      <c r="E39" s="128"/>
    </row>
    <row r="40" spans="1:6" ht="6.95" customHeight="1" x14ac:dyDescent="0.15">
      <c r="A40" s="52">
        <v>39</v>
      </c>
      <c r="B40" s="127"/>
      <c r="C40" s="127"/>
      <c r="D40" s="128"/>
      <c r="E40" s="128"/>
    </row>
    <row r="41" spans="1:6" ht="6.95" customHeight="1" x14ac:dyDescent="0.15">
      <c r="A41" s="52">
        <v>40</v>
      </c>
      <c r="B41" s="127"/>
      <c r="C41" s="127"/>
      <c r="D41" s="128"/>
      <c r="E41" s="128"/>
    </row>
    <row r="42" spans="1:6" ht="12.75" x14ac:dyDescent="0.2">
      <c r="A42" s="52">
        <v>41</v>
      </c>
      <c r="B42" s="143" t="s">
        <v>63</v>
      </c>
      <c r="C42" s="144">
        <v>2007</v>
      </c>
      <c r="D42" s="144" t="s">
        <v>112</v>
      </c>
      <c r="E42" s="133">
        <v>4</v>
      </c>
      <c r="F42" s="163" t="s">
        <v>39</v>
      </c>
    </row>
    <row r="43" spans="1:6" ht="12.75" x14ac:dyDescent="0.2">
      <c r="A43" s="52">
        <v>42</v>
      </c>
      <c r="B43" s="143" t="s">
        <v>61</v>
      </c>
      <c r="C43" s="144">
        <v>2005</v>
      </c>
      <c r="D43" s="144" t="s">
        <v>48</v>
      </c>
      <c r="E43" s="133">
        <v>5</v>
      </c>
      <c r="F43" s="164"/>
    </row>
    <row r="44" spans="1:6" ht="12.75" x14ac:dyDescent="0.2">
      <c r="A44" s="52">
        <v>43</v>
      </c>
      <c r="B44" s="143" t="s">
        <v>65</v>
      </c>
      <c r="C44" s="144">
        <v>2010</v>
      </c>
      <c r="D44" s="144" t="s">
        <v>47</v>
      </c>
      <c r="E44" s="133">
        <v>6</v>
      </c>
      <c r="F44" s="164"/>
    </row>
    <row r="45" spans="1:6" ht="12.75" x14ac:dyDescent="0.2">
      <c r="A45" s="52">
        <v>44</v>
      </c>
      <c r="B45" s="143" t="s">
        <v>68</v>
      </c>
      <c r="C45" s="144">
        <v>2009</v>
      </c>
      <c r="D45" s="144" t="s">
        <v>47</v>
      </c>
      <c r="E45" s="133">
        <v>7</v>
      </c>
      <c r="F45" s="164"/>
    </row>
    <row r="46" spans="1:6" ht="12.75" x14ac:dyDescent="0.2">
      <c r="A46" s="52">
        <v>45</v>
      </c>
      <c r="B46" s="143" t="s">
        <v>124</v>
      </c>
      <c r="C46" s="144">
        <v>2008</v>
      </c>
      <c r="D46" s="144" t="s">
        <v>113</v>
      </c>
      <c r="E46" s="133">
        <v>8</v>
      </c>
      <c r="F46" s="164"/>
    </row>
    <row r="47" spans="1:6" ht="12.75" x14ac:dyDescent="0.2">
      <c r="A47" s="52">
        <v>46</v>
      </c>
      <c r="B47" s="143" t="s">
        <v>62</v>
      </c>
      <c r="C47" s="144">
        <v>2006</v>
      </c>
      <c r="D47" s="144" t="s">
        <v>51</v>
      </c>
      <c r="E47" s="133">
        <v>10</v>
      </c>
      <c r="F47" s="164"/>
    </row>
    <row r="48" spans="1:6" ht="12.75" x14ac:dyDescent="0.2">
      <c r="A48" s="52">
        <v>47</v>
      </c>
      <c r="B48" s="143" t="s">
        <v>64</v>
      </c>
      <c r="C48" s="144">
        <v>2004</v>
      </c>
      <c r="D48" s="144" t="s">
        <v>48</v>
      </c>
      <c r="E48" s="133">
        <v>11</v>
      </c>
      <c r="F48" s="164"/>
    </row>
    <row r="49" spans="1:6" ht="12.75" x14ac:dyDescent="0.2">
      <c r="A49" s="52">
        <v>48</v>
      </c>
      <c r="B49" s="143" t="s">
        <v>66</v>
      </c>
      <c r="C49" s="144">
        <v>2006</v>
      </c>
      <c r="D49" s="144" t="s">
        <v>67</v>
      </c>
      <c r="E49" s="133">
        <v>12</v>
      </c>
      <c r="F49" s="164"/>
    </row>
    <row r="50" spans="1:6" ht="12.75" x14ac:dyDescent="0.2">
      <c r="A50" s="52">
        <v>49</v>
      </c>
      <c r="B50" s="143" t="s">
        <v>133</v>
      </c>
      <c r="C50" s="144">
        <v>2005</v>
      </c>
      <c r="D50" s="144" t="s">
        <v>48</v>
      </c>
      <c r="E50" s="133">
        <v>13</v>
      </c>
      <c r="F50" s="164"/>
    </row>
    <row r="51" spans="1:6" ht="12.75" x14ac:dyDescent="0.2">
      <c r="A51" s="52">
        <v>50</v>
      </c>
      <c r="B51" s="143"/>
      <c r="C51" s="144"/>
      <c r="D51" s="144"/>
      <c r="E51" s="133"/>
      <c r="F51" s="164"/>
    </row>
    <row r="52" spans="1:6" ht="12.75" x14ac:dyDescent="0.2">
      <c r="A52" s="52">
        <v>51</v>
      </c>
      <c r="B52" s="143" t="s">
        <v>125</v>
      </c>
      <c r="C52" s="144">
        <v>2006</v>
      </c>
      <c r="D52" s="144" t="s">
        <v>126</v>
      </c>
      <c r="E52" s="133">
        <v>15</v>
      </c>
      <c r="F52" s="164"/>
    </row>
    <row r="53" spans="1:6" ht="12.75" x14ac:dyDescent="0.2">
      <c r="A53" s="52">
        <v>52</v>
      </c>
      <c r="B53" s="143" t="s">
        <v>69</v>
      </c>
      <c r="C53" s="144">
        <v>2005</v>
      </c>
      <c r="D53" s="144" t="s">
        <v>48</v>
      </c>
      <c r="E53" s="133">
        <v>16</v>
      </c>
      <c r="F53" s="164"/>
    </row>
    <row r="54" spans="1:6" ht="12.75" x14ac:dyDescent="0.2">
      <c r="A54" s="52">
        <v>53</v>
      </c>
      <c r="B54" s="143"/>
      <c r="C54" s="144"/>
      <c r="D54" s="144"/>
      <c r="E54" s="133"/>
      <c r="F54" s="164"/>
    </row>
    <row r="55" spans="1:6" ht="12.75" x14ac:dyDescent="0.2">
      <c r="A55" s="52">
        <v>54</v>
      </c>
      <c r="B55" s="143"/>
      <c r="C55" s="144"/>
      <c r="D55" s="144"/>
      <c r="E55" s="133"/>
      <c r="F55" s="164"/>
    </row>
    <row r="56" spans="1:6" x14ac:dyDescent="0.15">
      <c r="A56" s="52">
        <v>55</v>
      </c>
      <c r="B56" s="129"/>
      <c r="C56" s="129"/>
      <c r="D56" s="130"/>
      <c r="E56" s="129"/>
      <c r="F56" s="164"/>
    </row>
    <row r="57" spans="1:6" x14ac:dyDescent="0.15">
      <c r="A57" s="52">
        <v>56</v>
      </c>
      <c r="B57" s="129"/>
      <c r="C57" s="129"/>
      <c r="D57" s="130"/>
      <c r="E57" s="129"/>
      <c r="F57" s="164"/>
    </row>
    <row r="58" spans="1:6" x14ac:dyDescent="0.15">
      <c r="A58" s="52"/>
      <c r="D58" s="51"/>
      <c r="E58" s="49"/>
    </row>
    <row r="59" spans="1:6" x14ac:dyDescent="0.15">
      <c r="A59" s="52"/>
      <c r="D59" s="51"/>
      <c r="E59" s="49"/>
    </row>
    <row r="60" spans="1:6" x14ac:dyDescent="0.15">
      <c r="A60" s="52"/>
      <c r="D60" s="51"/>
      <c r="E60" s="49"/>
    </row>
    <row r="61" spans="1:6" x14ac:dyDescent="0.15">
      <c r="A61" s="52"/>
      <c r="D61" s="51"/>
      <c r="E61" s="49"/>
    </row>
    <row r="62" spans="1:6" x14ac:dyDescent="0.15">
      <c r="A62" s="52"/>
      <c r="D62" s="51"/>
      <c r="E62" s="49"/>
    </row>
    <row r="63" spans="1:6" x14ac:dyDescent="0.15">
      <c r="A63" s="52"/>
      <c r="D63" s="51"/>
      <c r="E63" s="49"/>
    </row>
    <row r="64" spans="1:6" x14ac:dyDescent="0.15">
      <c r="A64" s="52"/>
      <c r="D64" s="51"/>
      <c r="E64" s="49"/>
    </row>
    <row r="65" spans="1:5" x14ac:dyDescent="0.15">
      <c r="A65" s="52"/>
      <c r="D65" s="50"/>
      <c r="E65" s="49"/>
    </row>
    <row r="66" spans="1:5" x14ac:dyDescent="0.15">
      <c r="A66" s="52"/>
      <c r="D66" s="51"/>
      <c r="E66" s="49"/>
    </row>
    <row r="67" spans="1:5" x14ac:dyDescent="0.15">
      <c r="A67" s="52"/>
      <c r="D67" s="51"/>
      <c r="E67" s="49"/>
    </row>
    <row r="68" spans="1:5" x14ac:dyDescent="0.15">
      <c r="A68" s="52"/>
      <c r="D68" s="51"/>
      <c r="E68" s="49"/>
    </row>
    <row r="69" spans="1:5" x14ac:dyDescent="0.15">
      <c r="A69" s="52"/>
      <c r="D69" s="51"/>
      <c r="E69" s="49"/>
    </row>
    <row r="70" spans="1:5" x14ac:dyDescent="0.15">
      <c r="A70" s="52"/>
      <c r="D70" s="51"/>
      <c r="E70" s="49"/>
    </row>
    <row r="71" spans="1:5" x14ac:dyDescent="0.15">
      <c r="A71" s="52"/>
      <c r="B71" s="49"/>
      <c r="C71" s="49"/>
      <c r="D71" s="51"/>
      <c r="E71" s="49"/>
    </row>
    <row r="72" spans="1:5" x14ac:dyDescent="0.15">
      <c r="A72" s="52"/>
      <c r="D72" s="51"/>
      <c r="E72" s="49"/>
    </row>
    <row r="73" spans="1:5" x14ac:dyDescent="0.15">
      <c r="A73" s="52"/>
      <c r="D73" s="51"/>
      <c r="E73" s="49"/>
    </row>
    <row r="74" spans="1:5" x14ac:dyDescent="0.15">
      <c r="A74" s="52"/>
      <c r="D74" s="51"/>
      <c r="E74" s="49"/>
    </row>
    <row r="75" spans="1:5" x14ac:dyDescent="0.15">
      <c r="A75" s="52"/>
      <c r="D75" s="51"/>
      <c r="E75" s="49"/>
    </row>
    <row r="76" spans="1:5" x14ac:dyDescent="0.15">
      <c r="A76" s="52"/>
      <c r="D76" s="51"/>
      <c r="E76" s="49"/>
    </row>
    <row r="77" spans="1:5" x14ac:dyDescent="0.15">
      <c r="A77" s="52"/>
      <c r="D77" s="51"/>
      <c r="E77" s="49"/>
    </row>
    <row r="78" spans="1:5" x14ac:dyDescent="0.15">
      <c r="A78" s="52"/>
      <c r="D78" s="51"/>
      <c r="E78" s="49"/>
    </row>
    <row r="79" spans="1:5" x14ac:dyDescent="0.15">
      <c r="A79" s="52"/>
      <c r="D79" s="51"/>
      <c r="E79" s="49"/>
    </row>
    <row r="80" spans="1:5" x14ac:dyDescent="0.15">
      <c r="A80" s="52"/>
      <c r="D80" s="51"/>
      <c r="E80" s="49"/>
    </row>
    <row r="81" spans="1:5" x14ac:dyDescent="0.15">
      <c r="A81" s="52"/>
      <c r="D81" s="51"/>
      <c r="E81" s="49"/>
    </row>
    <row r="82" spans="1:5" x14ac:dyDescent="0.15">
      <c r="A82" s="52"/>
      <c r="D82" s="51"/>
      <c r="E82" s="49"/>
    </row>
    <row r="83" spans="1:5" x14ac:dyDescent="0.15">
      <c r="A83" s="52"/>
      <c r="D83" s="51"/>
      <c r="E83" s="49"/>
    </row>
    <row r="84" spans="1:5" x14ac:dyDescent="0.15">
      <c r="A84" s="52"/>
      <c r="D84" s="51"/>
      <c r="E84" s="49"/>
    </row>
    <row r="85" spans="1:5" x14ac:dyDescent="0.15">
      <c r="A85" s="52"/>
      <c r="D85" s="51"/>
      <c r="E85" s="49"/>
    </row>
    <row r="86" spans="1:5" x14ac:dyDescent="0.15">
      <c r="A86" s="52"/>
      <c r="D86" s="51"/>
      <c r="E86" s="49"/>
    </row>
    <row r="87" spans="1:5" x14ac:dyDescent="0.15">
      <c r="A87" s="52"/>
      <c r="D87" s="51"/>
      <c r="E87" s="49"/>
    </row>
    <row r="88" spans="1:5" x14ac:dyDescent="0.15">
      <c r="A88" s="52"/>
      <c r="D88" s="51"/>
      <c r="E88" s="49"/>
    </row>
    <row r="89" spans="1:5" x14ac:dyDescent="0.15">
      <c r="A89" s="52"/>
      <c r="D89" s="51"/>
      <c r="E89" s="49"/>
    </row>
    <row r="90" spans="1:5" x14ac:dyDescent="0.15">
      <c r="A90" s="52"/>
      <c r="D90" s="51"/>
      <c r="E90" s="49"/>
    </row>
    <row r="91" spans="1:5" x14ac:dyDescent="0.15">
      <c r="A91" s="52"/>
      <c r="D91" s="51"/>
      <c r="E91" s="49"/>
    </row>
    <row r="92" spans="1:5" x14ac:dyDescent="0.15">
      <c r="A92" s="52"/>
      <c r="D92" s="51"/>
      <c r="E92" s="49"/>
    </row>
    <row r="93" spans="1:5" x14ac:dyDescent="0.15">
      <c r="A93" s="52"/>
      <c r="D93" s="51"/>
      <c r="E93" s="49"/>
    </row>
    <row r="94" spans="1:5" x14ac:dyDescent="0.15">
      <c r="A94" s="52"/>
      <c r="D94" s="51"/>
      <c r="E94" s="49"/>
    </row>
    <row r="95" spans="1:5" x14ac:dyDescent="0.15">
      <c r="A95" s="52"/>
      <c r="D95" s="51"/>
      <c r="E95" s="49"/>
    </row>
    <row r="96" spans="1:5" x14ac:dyDescent="0.15">
      <c r="A96" s="52"/>
      <c r="D96" s="51"/>
      <c r="E96" s="49"/>
    </row>
    <row r="97" spans="1:5" x14ac:dyDescent="0.15">
      <c r="A97" s="52"/>
      <c r="D97" s="51"/>
      <c r="E97" s="49"/>
    </row>
    <row r="98" spans="1:5" x14ac:dyDescent="0.15">
      <c r="A98" s="52"/>
      <c r="D98" s="51"/>
      <c r="E98" s="49"/>
    </row>
    <row r="99" spans="1:5" x14ac:dyDescent="0.15">
      <c r="A99" s="52"/>
      <c r="D99" s="51"/>
      <c r="E99" s="49"/>
    </row>
    <row r="100" spans="1:5" x14ac:dyDescent="0.15">
      <c r="A100" s="52"/>
      <c r="D100" s="51"/>
      <c r="E100" s="49"/>
    </row>
    <row r="101" spans="1:5" x14ac:dyDescent="0.15">
      <c r="A101" s="52"/>
      <c r="D101" s="51"/>
      <c r="E101" s="49"/>
    </row>
    <row r="102" spans="1:5" x14ac:dyDescent="0.15">
      <c r="A102" s="52"/>
      <c r="D102" s="51"/>
      <c r="E102" s="49"/>
    </row>
    <row r="103" spans="1:5" x14ac:dyDescent="0.15">
      <c r="A103" s="52"/>
      <c r="D103" s="51"/>
      <c r="E103" s="49"/>
    </row>
    <row r="104" spans="1:5" x14ac:dyDescent="0.15">
      <c r="A104" s="52"/>
      <c r="D104" s="51"/>
      <c r="E104" s="49"/>
    </row>
    <row r="105" spans="1:5" x14ac:dyDescent="0.15">
      <c r="A105" s="52"/>
      <c r="D105" s="51"/>
      <c r="E105" s="49"/>
    </row>
    <row r="106" spans="1:5" x14ac:dyDescent="0.15">
      <c r="A106" s="52"/>
      <c r="D106" s="51"/>
      <c r="E106" s="49"/>
    </row>
    <row r="107" spans="1:5" x14ac:dyDescent="0.15">
      <c r="A107" s="52"/>
      <c r="D107" s="51"/>
      <c r="E107" s="49"/>
    </row>
    <row r="108" spans="1:5" x14ac:dyDescent="0.15">
      <c r="A108" s="52"/>
      <c r="D108" s="51"/>
      <c r="E108" s="49"/>
    </row>
    <row r="109" spans="1:5" x14ac:dyDescent="0.15">
      <c r="A109" s="52"/>
      <c r="D109" s="51"/>
      <c r="E109" s="49"/>
    </row>
    <row r="110" spans="1:5" x14ac:dyDescent="0.15">
      <c r="A110" s="52"/>
      <c r="D110" s="51"/>
      <c r="E110" s="49"/>
    </row>
    <row r="111" spans="1:5" x14ac:dyDescent="0.15">
      <c r="A111" s="52"/>
      <c r="D111" s="51"/>
      <c r="E111" s="49"/>
    </row>
    <row r="112" spans="1:5" x14ac:dyDescent="0.15">
      <c r="A112" s="52"/>
      <c r="D112" s="51"/>
      <c r="E112" s="49"/>
    </row>
    <row r="113" spans="1:5" x14ac:dyDescent="0.15">
      <c r="A113" s="52"/>
      <c r="D113" s="51"/>
      <c r="E113" s="49"/>
    </row>
    <row r="114" spans="1:5" x14ac:dyDescent="0.15">
      <c r="A114" s="52"/>
      <c r="D114" s="51"/>
      <c r="E114" s="49"/>
    </row>
    <row r="115" spans="1:5" x14ac:dyDescent="0.15">
      <c r="A115" s="52"/>
      <c r="D115" s="51"/>
      <c r="E115" s="49"/>
    </row>
    <row r="116" spans="1:5" x14ac:dyDescent="0.15">
      <c r="A116" s="52"/>
      <c r="D116" s="51"/>
      <c r="E116" s="49"/>
    </row>
    <row r="117" spans="1:5" x14ac:dyDescent="0.15">
      <c r="A117" s="52"/>
      <c r="D117" s="51"/>
      <c r="E117" s="49"/>
    </row>
    <row r="118" spans="1:5" x14ac:dyDescent="0.15">
      <c r="A118" s="52"/>
      <c r="D118" s="51"/>
      <c r="E118" s="49"/>
    </row>
    <row r="119" spans="1:5" x14ac:dyDescent="0.15">
      <c r="A119" s="52"/>
      <c r="D119" s="51"/>
      <c r="E119" s="49"/>
    </row>
    <row r="120" spans="1:5" x14ac:dyDescent="0.15">
      <c r="A120" s="52"/>
      <c r="D120" s="51"/>
      <c r="E120" s="49"/>
    </row>
    <row r="121" spans="1:5" x14ac:dyDescent="0.15">
      <c r="A121" s="52"/>
      <c r="D121" s="51"/>
      <c r="E121" s="49"/>
    </row>
    <row r="122" spans="1:5" x14ac:dyDescent="0.15">
      <c r="A122" s="52"/>
      <c r="D122" s="51"/>
      <c r="E122" s="49"/>
    </row>
    <row r="123" spans="1:5" x14ac:dyDescent="0.15">
      <c r="A123" s="52"/>
      <c r="D123" s="51"/>
      <c r="E123" s="49"/>
    </row>
    <row r="124" spans="1:5" x14ac:dyDescent="0.15">
      <c r="A124" s="52"/>
      <c r="D124" s="51"/>
      <c r="E124" s="49"/>
    </row>
    <row r="125" spans="1:5" x14ac:dyDescent="0.15">
      <c r="A125" s="52"/>
      <c r="D125" s="51"/>
      <c r="E125" s="49"/>
    </row>
    <row r="126" spans="1:5" x14ac:dyDescent="0.15">
      <c r="A126" s="52"/>
      <c r="D126" s="51"/>
      <c r="E126" s="49"/>
    </row>
    <row r="127" spans="1:5" x14ac:dyDescent="0.15">
      <c r="A127" s="52"/>
      <c r="D127" s="51"/>
      <c r="E127" s="49"/>
    </row>
    <row r="128" spans="1:5" x14ac:dyDescent="0.15">
      <c r="A128" s="52"/>
      <c r="D128" s="51"/>
      <c r="E128" s="49"/>
    </row>
    <row r="129" spans="1:5" x14ac:dyDescent="0.15">
      <c r="A129" s="52"/>
      <c r="D129" s="51"/>
      <c r="E129" s="49"/>
    </row>
    <row r="130" spans="1:5" x14ac:dyDescent="0.15">
      <c r="A130" s="52"/>
      <c r="B130" s="52"/>
      <c r="D130" s="51"/>
      <c r="E130" s="49"/>
    </row>
    <row r="131" spans="1:5" x14ac:dyDescent="0.15">
      <c r="A131" s="52"/>
      <c r="B131" s="52"/>
      <c r="D131" s="51"/>
      <c r="E131" s="49"/>
    </row>
    <row r="132" spans="1:5" x14ac:dyDescent="0.15">
      <c r="A132" s="52"/>
      <c r="B132" s="52"/>
      <c r="D132" s="51"/>
      <c r="E132" s="49"/>
    </row>
    <row r="133" spans="1:5" x14ac:dyDescent="0.15">
      <c r="A133" s="52"/>
      <c r="B133" s="52"/>
      <c r="D133" s="51"/>
      <c r="E133" s="49"/>
    </row>
    <row r="134" spans="1:5" x14ac:dyDescent="0.15">
      <c r="A134" s="52"/>
      <c r="B134" s="52"/>
      <c r="D134" s="51"/>
      <c r="E134" s="49"/>
    </row>
    <row r="135" spans="1:5" x14ac:dyDescent="0.15">
      <c r="A135" s="52"/>
      <c r="B135" s="52"/>
      <c r="D135" s="51"/>
      <c r="E135" s="49"/>
    </row>
    <row r="136" spans="1:5" x14ac:dyDescent="0.15">
      <c r="A136" s="52"/>
      <c r="B136" s="52"/>
      <c r="C136" s="49"/>
      <c r="D136" s="50"/>
      <c r="E136" s="49"/>
    </row>
    <row r="137" spans="1:5" x14ac:dyDescent="0.15">
      <c r="A137" s="52"/>
      <c r="B137" s="52"/>
      <c r="C137" s="49"/>
      <c r="D137" s="50"/>
      <c r="E137" s="49"/>
    </row>
    <row r="138" spans="1:5" x14ac:dyDescent="0.15">
      <c r="A138" s="52"/>
      <c r="B138" s="52"/>
      <c r="D138" s="51"/>
      <c r="E138" s="49"/>
    </row>
    <row r="139" spans="1:5" x14ac:dyDescent="0.15">
      <c r="A139" s="52"/>
      <c r="B139" s="52"/>
      <c r="C139" s="49"/>
      <c r="D139" s="51"/>
      <c r="E139" s="49"/>
    </row>
    <row r="140" spans="1:5" x14ac:dyDescent="0.15">
      <c r="A140" s="52"/>
      <c r="B140" s="52"/>
      <c r="E140" s="49"/>
    </row>
    <row r="141" spans="1:5" x14ac:dyDescent="0.15">
      <c r="A141" s="52"/>
      <c r="B141" s="52"/>
      <c r="E141" s="49"/>
    </row>
    <row r="142" spans="1:5" x14ac:dyDescent="0.15">
      <c r="A142" s="52"/>
      <c r="B142" s="52"/>
      <c r="E142" s="49"/>
    </row>
    <row r="143" spans="1:5" x14ac:dyDescent="0.15">
      <c r="A143" s="52"/>
      <c r="B143" s="52"/>
      <c r="E143" s="49"/>
    </row>
    <row r="144" spans="1:5" x14ac:dyDescent="0.15">
      <c r="A144" s="52"/>
      <c r="B144" s="52"/>
      <c r="E144" s="49"/>
    </row>
    <row r="145" spans="1:5" x14ac:dyDescent="0.15">
      <c r="A145" s="52"/>
      <c r="B145" s="52"/>
      <c r="E145" s="49"/>
    </row>
    <row r="146" spans="1:5" x14ac:dyDescent="0.15">
      <c r="A146" s="52"/>
      <c r="B146" s="52"/>
      <c r="E146" s="49"/>
    </row>
    <row r="147" spans="1:5" x14ac:dyDescent="0.15">
      <c r="A147" s="52"/>
      <c r="B147" s="52"/>
      <c r="E147" s="49"/>
    </row>
    <row r="148" spans="1:5" x14ac:dyDescent="0.15">
      <c r="A148" s="52"/>
      <c r="B148" s="52"/>
      <c r="E148" s="49"/>
    </row>
    <row r="149" spans="1:5" x14ac:dyDescent="0.15">
      <c r="A149" s="52"/>
      <c r="B149" s="52"/>
      <c r="E149" s="49"/>
    </row>
    <row r="150" spans="1:5" x14ac:dyDescent="0.15">
      <c r="A150" s="52"/>
      <c r="B150" s="52"/>
      <c r="E150" s="49"/>
    </row>
    <row r="151" spans="1:5" x14ac:dyDescent="0.15">
      <c r="A151" s="52"/>
      <c r="B151" s="52"/>
      <c r="E151" s="49"/>
    </row>
    <row r="152" spans="1:5" x14ac:dyDescent="0.15">
      <c r="A152" s="52"/>
      <c r="B152" s="52"/>
      <c r="E152" s="49"/>
    </row>
    <row r="153" spans="1:5" x14ac:dyDescent="0.15">
      <c r="A153" s="52"/>
      <c r="B153" s="52"/>
      <c r="E153" s="49"/>
    </row>
    <row r="154" spans="1:5" x14ac:dyDescent="0.15">
      <c r="A154" s="52"/>
      <c r="B154" s="52"/>
      <c r="E154" s="49"/>
    </row>
    <row r="155" spans="1:5" x14ac:dyDescent="0.15">
      <c r="A155" s="52"/>
      <c r="B155" s="52"/>
      <c r="E155" s="49"/>
    </row>
    <row r="156" spans="1:5" x14ac:dyDescent="0.15">
      <c r="A156" s="52"/>
      <c r="B156" s="52"/>
      <c r="E156" s="49"/>
    </row>
    <row r="157" spans="1:5" x14ac:dyDescent="0.15">
      <c r="A157" s="52"/>
      <c r="B157" s="52"/>
      <c r="E157" s="49"/>
    </row>
    <row r="158" spans="1:5" x14ac:dyDescent="0.15">
      <c r="A158" s="52"/>
      <c r="B158" s="52"/>
      <c r="E158" s="49"/>
    </row>
    <row r="159" spans="1:5" x14ac:dyDescent="0.15">
      <c r="A159" s="52"/>
      <c r="B159" s="52"/>
      <c r="E159" s="49"/>
    </row>
    <row r="160" spans="1:5" x14ac:dyDescent="0.15">
      <c r="A160" s="52"/>
      <c r="B160" s="52"/>
      <c r="E160" s="49"/>
    </row>
    <row r="161" spans="1:5" x14ac:dyDescent="0.15">
      <c r="A161" s="52"/>
      <c r="B161" s="52"/>
      <c r="E161" s="49"/>
    </row>
    <row r="162" spans="1:5" x14ac:dyDescent="0.15">
      <c r="A162" s="52"/>
      <c r="B162" s="52"/>
      <c r="E162" s="49"/>
    </row>
    <row r="163" spans="1:5" x14ac:dyDescent="0.15">
      <c r="A163" s="52"/>
      <c r="B163" s="52"/>
      <c r="E163" s="49"/>
    </row>
    <row r="164" spans="1:5" x14ac:dyDescent="0.15">
      <c r="A164" s="52"/>
      <c r="B164" s="52"/>
      <c r="E164" s="49"/>
    </row>
    <row r="165" spans="1:5" x14ac:dyDescent="0.15">
      <c r="A165" s="52"/>
      <c r="B165" s="52"/>
      <c r="E165" s="49"/>
    </row>
    <row r="166" spans="1:5" x14ac:dyDescent="0.15">
      <c r="A166" s="52"/>
      <c r="B166" s="52"/>
      <c r="E166" s="49"/>
    </row>
    <row r="167" spans="1:5" x14ac:dyDescent="0.15">
      <c r="A167" s="52"/>
      <c r="B167" s="52"/>
      <c r="E167" s="49"/>
    </row>
    <row r="168" spans="1:5" x14ac:dyDescent="0.15">
      <c r="A168" s="52"/>
      <c r="B168" s="52"/>
      <c r="E168" s="49"/>
    </row>
    <row r="169" spans="1:5" x14ac:dyDescent="0.15">
      <c r="A169" s="52"/>
      <c r="B169" s="52"/>
      <c r="E169" s="49"/>
    </row>
    <row r="170" spans="1:5" x14ac:dyDescent="0.15">
      <c r="A170" s="52"/>
      <c r="B170" s="52"/>
      <c r="E170" s="49"/>
    </row>
    <row r="171" spans="1:5" x14ac:dyDescent="0.15">
      <c r="A171" s="52"/>
      <c r="B171" s="52"/>
      <c r="E171" s="49"/>
    </row>
    <row r="172" spans="1:5" x14ac:dyDescent="0.15">
      <c r="A172" s="52"/>
      <c r="B172" s="52"/>
      <c r="E172" s="49"/>
    </row>
    <row r="173" spans="1:5" x14ac:dyDescent="0.15">
      <c r="A173" s="52"/>
      <c r="B173" s="52"/>
      <c r="E173" s="49"/>
    </row>
    <row r="174" spans="1:5" x14ac:dyDescent="0.15">
      <c r="A174" s="52"/>
      <c r="B174" s="52"/>
      <c r="E174" s="49"/>
    </row>
    <row r="175" spans="1:5" x14ac:dyDescent="0.15">
      <c r="A175" s="52"/>
      <c r="B175" s="52"/>
      <c r="E175" s="49"/>
    </row>
    <row r="176" spans="1:5" x14ac:dyDescent="0.15">
      <c r="A176" s="52"/>
      <c r="B176" s="52"/>
      <c r="E176" s="49"/>
    </row>
    <row r="177" spans="1:5" x14ac:dyDescent="0.15">
      <c r="A177" s="52"/>
      <c r="B177" s="52"/>
      <c r="E177" s="49"/>
    </row>
    <row r="178" spans="1:5" x14ac:dyDescent="0.15">
      <c r="A178" s="52"/>
      <c r="B178" s="52"/>
      <c r="E178" s="49"/>
    </row>
    <row r="179" spans="1:5" x14ac:dyDescent="0.15">
      <c r="A179" s="52"/>
      <c r="B179" s="52"/>
      <c r="E179" s="49"/>
    </row>
    <row r="180" spans="1:5" x14ac:dyDescent="0.15">
      <c r="A180" s="52"/>
      <c r="B180" s="52"/>
      <c r="E180" s="49"/>
    </row>
    <row r="181" spans="1:5" x14ac:dyDescent="0.15">
      <c r="A181" s="52"/>
      <c r="B181" s="52"/>
      <c r="E181" s="49"/>
    </row>
    <row r="182" spans="1:5" x14ac:dyDescent="0.15">
      <c r="A182" s="52"/>
      <c r="B182" s="52"/>
      <c r="E182" s="49"/>
    </row>
    <row r="183" spans="1:5" x14ac:dyDescent="0.15">
      <c r="A183" s="52"/>
      <c r="B183" s="52"/>
      <c r="E183" s="49"/>
    </row>
    <row r="184" spans="1:5" x14ac:dyDescent="0.15">
      <c r="A184" s="52"/>
      <c r="B184" s="52"/>
      <c r="E184" s="49"/>
    </row>
    <row r="185" spans="1:5" x14ac:dyDescent="0.15">
      <c r="A185" s="52"/>
      <c r="B185" s="52"/>
      <c r="E185" s="49"/>
    </row>
    <row r="186" spans="1:5" x14ac:dyDescent="0.15">
      <c r="A186" s="52"/>
      <c r="B186" s="52"/>
      <c r="E186" s="49"/>
    </row>
    <row r="187" spans="1:5" x14ac:dyDescent="0.15">
      <c r="A187" s="52"/>
      <c r="B187" s="52"/>
      <c r="E187" s="49"/>
    </row>
    <row r="188" spans="1:5" x14ac:dyDescent="0.15">
      <c r="A188" s="52"/>
      <c r="B188" s="52"/>
      <c r="E188" s="49"/>
    </row>
    <row r="189" spans="1:5" x14ac:dyDescent="0.15">
      <c r="A189" s="52"/>
      <c r="B189" s="52"/>
      <c r="E189" s="49"/>
    </row>
    <row r="190" spans="1:5" x14ac:dyDescent="0.15">
      <c r="A190" s="52"/>
      <c r="B190" s="52"/>
      <c r="E190" s="49"/>
    </row>
    <row r="191" spans="1:5" x14ac:dyDescent="0.15">
      <c r="A191" s="52"/>
      <c r="B191" s="52"/>
      <c r="E191" s="49"/>
    </row>
    <row r="192" spans="1:5" x14ac:dyDescent="0.15">
      <c r="A192" s="52"/>
      <c r="B192" s="52"/>
      <c r="E192" s="49"/>
    </row>
    <row r="193" spans="1:5" x14ac:dyDescent="0.15">
      <c r="A193" s="52"/>
      <c r="B193" s="52"/>
      <c r="E193" s="49"/>
    </row>
    <row r="194" spans="1:5" x14ac:dyDescent="0.15">
      <c r="A194" s="52"/>
      <c r="B194" s="52"/>
      <c r="E194" s="49"/>
    </row>
    <row r="195" spans="1:5" x14ac:dyDescent="0.15">
      <c r="A195" s="52"/>
      <c r="B195" s="52"/>
      <c r="E195" s="49"/>
    </row>
    <row r="196" spans="1:5" x14ac:dyDescent="0.15">
      <c r="A196" s="52"/>
      <c r="B196" s="52"/>
      <c r="E196" s="49"/>
    </row>
    <row r="197" spans="1:5" x14ac:dyDescent="0.15">
      <c r="A197" s="52"/>
      <c r="B197" s="52"/>
      <c r="E197" s="49"/>
    </row>
    <row r="198" spans="1:5" x14ac:dyDescent="0.15">
      <c r="A198" s="52"/>
      <c r="B198" s="52"/>
      <c r="E198" s="49"/>
    </row>
    <row r="199" spans="1:5" x14ac:dyDescent="0.15">
      <c r="A199" s="52"/>
      <c r="B199" s="52"/>
      <c r="E199" s="49"/>
    </row>
    <row r="200" spans="1:5" x14ac:dyDescent="0.15">
      <c r="A200" s="52"/>
      <c r="B200" s="52"/>
      <c r="E200" s="49"/>
    </row>
    <row r="201" spans="1:5" x14ac:dyDescent="0.15">
      <c r="A201" s="52"/>
      <c r="B201" s="52"/>
      <c r="E201" s="49"/>
    </row>
    <row r="202" spans="1:5" x14ac:dyDescent="0.15">
      <c r="A202" s="52"/>
      <c r="B202" s="52"/>
      <c r="E202" s="49"/>
    </row>
    <row r="203" spans="1:5" x14ac:dyDescent="0.15">
      <c r="A203" s="52"/>
      <c r="B203" s="52"/>
      <c r="E203" s="49"/>
    </row>
    <row r="204" spans="1:5" x14ac:dyDescent="0.15">
      <c r="A204" s="52"/>
      <c r="B204" s="52"/>
      <c r="E204" s="49"/>
    </row>
    <row r="205" spans="1:5" x14ac:dyDescent="0.15">
      <c r="A205" s="52"/>
      <c r="B205" s="52"/>
      <c r="E205" s="49"/>
    </row>
    <row r="206" spans="1:5" x14ac:dyDescent="0.15">
      <c r="A206" s="52"/>
      <c r="B206" s="52"/>
      <c r="E206" s="49"/>
    </row>
    <row r="207" spans="1:5" x14ac:dyDescent="0.15">
      <c r="A207" s="52"/>
      <c r="B207" s="52"/>
      <c r="E207" s="49"/>
    </row>
    <row r="208" spans="1:5" x14ac:dyDescent="0.15">
      <c r="A208" s="52"/>
      <c r="B208" s="52"/>
      <c r="E208" s="49"/>
    </row>
    <row r="209" spans="1:5" x14ac:dyDescent="0.15">
      <c r="A209" s="52"/>
      <c r="B209" s="52"/>
      <c r="E209" s="49"/>
    </row>
    <row r="210" spans="1:5" x14ac:dyDescent="0.15">
      <c r="A210" s="52"/>
      <c r="B210" s="52"/>
      <c r="E210" s="49"/>
    </row>
    <row r="211" spans="1:5" x14ac:dyDescent="0.15">
      <c r="A211" s="52"/>
      <c r="B211" s="52"/>
      <c r="E211" s="49"/>
    </row>
    <row r="212" spans="1:5" x14ac:dyDescent="0.15">
      <c r="A212" s="52"/>
      <c r="B212" s="52"/>
      <c r="E212" s="49"/>
    </row>
    <row r="213" spans="1:5" x14ac:dyDescent="0.15">
      <c r="A213" s="52"/>
      <c r="B213" s="52"/>
      <c r="E213" s="49"/>
    </row>
    <row r="214" spans="1:5" x14ac:dyDescent="0.15">
      <c r="A214" s="52"/>
      <c r="B214" s="52"/>
      <c r="E214" s="49"/>
    </row>
    <row r="215" spans="1:5" x14ac:dyDescent="0.15">
      <c r="A215" s="52"/>
      <c r="B215" s="52"/>
      <c r="E215" s="49"/>
    </row>
    <row r="216" spans="1:5" x14ac:dyDescent="0.15">
      <c r="A216" s="52"/>
      <c r="B216" s="52"/>
      <c r="E216" s="49"/>
    </row>
    <row r="217" spans="1:5" x14ac:dyDescent="0.15">
      <c r="A217" s="52"/>
      <c r="B217" s="52"/>
      <c r="E217" s="49"/>
    </row>
    <row r="218" spans="1:5" x14ac:dyDescent="0.15">
      <c r="A218" s="52"/>
      <c r="B218" s="52"/>
      <c r="E218" s="49"/>
    </row>
    <row r="219" spans="1:5" x14ac:dyDescent="0.15">
      <c r="A219" s="52"/>
      <c r="B219" s="52"/>
      <c r="E219" s="49"/>
    </row>
    <row r="220" spans="1:5" x14ac:dyDescent="0.15">
      <c r="A220" s="52"/>
      <c r="B220" s="52"/>
      <c r="E220" s="49"/>
    </row>
    <row r="221" spans="1:5" x14ac:dyDescent="0.15">
      <c r="A221" s="52"/>
      <c r="B221" s="52"/>
      <c r="E221" s="49"/>
    </row>
    <row r="222" spans="1:5" x14ac:dyDescent="0.15">
      <c r="A222" s="52"/>
      <c r="B222" s="52"/>
      <c r="E222" s="49"/>
    </row>
    <row r="223" spans="1:5" x14ac:dyDescent="0.15">
      <c r="A223" s="52"/>
      <c r="B223" s="52"/>
      <c r="E223" s="49"/>
    </row>
    <row r="224" spans="1:5" x14ac:dyDescent="0.15">
      <c r="A224" s="52"/>
      <c r="B224" s="52"/>
      <c r="E224" s="49"/>
    </row>
    <row r="225" spans="1:5" x14ac:dyDescent="0.15">
      <c r="A225" s="52"/>
      <c r="B225" s="52"/>
      <c r="E225" s="49"/>
    </row>
    <row r="226" spans="1:5" x14ac:dyDescent="0.15">
      <c r="A226" s="52"/>
      <c r="B226" s="52"/>
      <c r="E226" s="49"/>
    </row>
    <row r="227" spans="1:5" x14ac:dyDescent="0.15">
      <c r="A227" s="52"/>
      <c r="B227" s="52"/>
      <c r="E227" s="49"/>
    </row>
    <row r="228" spans="1:5" x14ac:dyDescent="0.15">
      <c r="A228" s="52"/>
      <c r="B228" s="52"/>
      <c r="E228" s="49"/>
    </row>
    <row r="229" spans="1:5" x14ac:dyDescent="0.15">
      <c r="A229" s="52"/>
      <c r="B229" s="52"/>
      <c r="E229" s="49"/>
    </row>
    <row r="230" spans="1:5" x14ac:dyDescent="0.15">
      <c r="A230" s="52"/>
      <c r="B230" s="52"/>
      <c r="E230" s="49"/>
    </row>
    <row r="231" spans="1:5" x14ac:dyDescent="0.15">
      <c r="A231" s="52"/>
      <c r="B231" s="52"/>
      <c r="E231" s="49"/>
    </row>
    <row r="232" spans="1:5" x14ac:dyDescent="0.15">
      <c r="A232" s="52"/>
      <c r="B232" s="52"/>
      <c r="E232" s="49"/>
    </row>
    <row r="233" spans="1:5" x14ac:dyDescent="0.15">
      <c r="A233" s="52"/>
      <c r="B233" s="52"/>
      <c r="E233" s="49"/>
    </row>
    <row r="234" spans="1:5" x14ac:dyDescent="0.15">
      <c r="A234" s="52"/>
      <c r="B234" s="52"/>
      <c r="E234" s="49"/>
    </row>
    <row r="235" spans="1:5" x14ac:dyDescent="0.15">
      <c r="A235" s="52"/>
      <c r="B235" s="52"/>
      <c r="E235" s="49"/>
    </row>
    <row r="236" spans="1:5" x14ac:dyDescent="0.15">
      <c r="A236" s="52"/>
      <c r="B236" s="52"/>
      <c r="E236" s="49"/>
    </row>
    <row r="237" spans="1:5" x14ac:dyDescent="0.15">
      <c r="A237" s="52"/>
      <c r="B237" s="52"/>
      <c r="E237" s="49"/>
    </row>
    <row r="238" spans="1:5" x14ac:dyDescent="0.15">
      <c r="A238" s="52"/>
      <c r="B238" s="52"/>
      <c r="E238" s="49"/>
    </row>
    <row r="239" spans="1:5" x14ac:dyDescent="0.15">
      <c r="A239" s="52"/>
      <c r="B239" s="52"/>
      <c r="E239" s="49"/>
    </row>
    <row r="240" spans="1:5" x14ac:dyDescent="0.15">
      <c r="A240" s="52"/>
      <c r="B240" s="52"/>
      <c r="E240" s="49"/>
    </row>
    <row r="241" spans="1:5" x14ac:dyDescent="0.15">
      <c r="A241" s="52"/>
      <c r="B241" s="52"/>
      <c r="E241" s="49"/>
    </row>
    <row r="242" spans="1:5" x14ac:dyDescent="0.15">
      <c r="A242" s="52"/>
      <c r="B242" s="52"/>
      <c r="E242" s="49"/>
    </row>
    <row r="243" spans="1:5" x14ac:dyDescent="0.15">
      <c r="A243" s="52"/>
      <c r="B243" s="52"/>
      <c r="E243" s="49"/>
    </row>
    <row r="244" spans="1:5" x14ac:dyDescent="0.15">
      <c r="A244" s="52"/>
      <c r="B244" s="52"/>
      <c r="E244" s="49"/>
    </row>
    <row r="245" spans="1:5" x14ac:dyDescent="0.15">
      <c r="A245" s="52"/>
      <c r="B245" s="52"/>
      <c r="E245" s="49"/>
    </row>
    <row r="246" spans="1:5" x14ac:dyDescent="0.15">
      <c r="A246" s="52"/>
      <c r="B246" s="52"/>
      <c r="E246" s="49"/>
    </row>
    <row r="247" spans="1:5" x14ac:dyDescent="0.15">
      <c r="A247" s="52"/>
      <c r="B247" s="52"/>
      <c r="E247" s="49"/>
    </row>
  </sheetData>
  <mergeCells count="2">
    <mergeCell ref="F2:F33"/>
    <mergeCell ref="F42:F57"/>
  </mergeCells>
  <phoneticPr fontId="0" type="noConversion"/>
  <pageMargins left="0.78740157480314965" right="0.78740157480314965" top="0.59055118110236227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V14"/>
  <sheetViews>
    <sheetView workbookViewId="0">
      <selection activeCell="D13" sqref="D13"/>
    </sheetView>
  </sheetViews>
  <sheetFormatPr defaultRowHeight="12.75" x14ac:dyDescent="0.2"/>
  <cols>
    <col min="1" max="1" width="24.5703125" customWidth="1"/>
    <col min="2" max="2" width="4.85546875" bestFit="1" customWidth="1"/>
    <col min="3" max="3" width="15.42578125" bestFit="1" customWidth="1"/>
    <col min="4" max="4" width="12.140625" bestFit="1" customWidth="1"/>
    <col min="5" max="5" width="4.85546875" bestFit="1" customWidth="1"/>
    <col min="6" max="6" width="13.42578125" bestFit="1" customWidth="1"/>
    <col min="7" max="7" width="12.140625" bestFit="1" customWidth="1"/>
    <col min="8" max="8" width="4.85546875" bestFit="1" customWidth="1"/>
    <col min="9" max="9" width="13.85546875" bestFit="1" customWidth="1"/>
    <col min="10" max="10" width="12.140625" bestFit="1" customWidth="1"/>
    <col min="11" max="11" width="4.85546875" bestFit="1" customWidth="1"/>
    <col min="12" max="12" width="13.7109375" bestFit="1" customWidth="1"/>
    <col min="13" max="13" width="11.85546875" bestFit="1" customWidth="1"/>
    <col min="14" max="14" width="7" bestFit="1" customWidth="1"/>
    <col min="15" max="15" width="4.85546875" bestFit="1" customWidth="1"/>
    <col min="16" max="16" width="4" bestFit="1" customWidth="1"/>
  </cols>
  <sheetData>
    <row r="1" spans="1:256" x14ac:dyDescent="0.2">
      <c r="A1" t="s">
        <v>25</v>
      </c>
      <c r="B1" t="s">
        <v>0</v>
      </c>
      <c r="C1" t="s">
        <v>1</v>
      </c>
      <c r="D1" t="s">
        <v>2</v>
      </c>
      <c r="E1" t="s">
        <v>0</v>
      </c>
      <c r="F1" t="s">
        <v>3</v>
      </c>
      <c r="G1" t="s">
        <v>2</v>
      </c>
      <c r="H1" t="s">
        <v>0</v>
      </c>
      <c r="I1" t="s">
        <v>14</v>
      </c>
      <c r="J1" t="s">
        <v>2</v>
      </c>
      <c r="K1" t="s">
        <v>0</v>
      </c>
      <c r="L1" t="s">
        <v>15</v>
      </c>
      <c r="M1" t="s">
        <v>2</v>
      </c>
    </row>
    <row r="2" spans="1:256" x14ac:dyDescent="0.2">
      <c r="A2" s="131" t="str">
        <f>CONCATENATE("Čtyřhra ",úvod!$C$8,"M - 1.kolo")</f>
        <v>Čtyřhra U19M - 1.kolo</v>
      </c>
      <c r="B2" s="131">
        <f>'čt. M'!$B$3</f>
        <v>2</v>
      </c>
      <c r="C2" s="131" t="str">
        <f>IF($B2=0,"bye",VLOOKUP($B2,sez!$A$2:$D$259,2))</f>
        <v>Nespěšný Hynek</v>
      </c>
      <c r="D2" s="131" t="str">
        <f>IF($B2=0,"",VLOOKUP($B2,sez!$A$2:$D$259,4))</f>
        <v>MS Brno</v>
      </c>
      <c r="E2" s="131">
        <f>'čt. M'!$B$4</f>
        <v>5</v>
      </c>
      <c r="F2" s="131" t="str">
        <f>IF($E2="","bye",VLOOKUP($E2,sez!$A$2:$D$259,2))</f>
        <v>Drápal Metoděj</v>
      </c>
      <c r="G2" s="131" t="str">
        <f>IF($E2="","",VLOOKUP($E2,sez!$A$2:$D$259,4))</f>
        <v>MS Brno</v>
      </c>
      <c r="H2" s="131">
        <f>'čt. M'!$B$5</f>
        <v>0</v>
      </c>
      <c r="I2" s="131" t="str">
        <f>IF($H2=0,"bye",VLOOKUP($H2,sez!$A$2:$D$259,2))</f>
        <v>bye</v>
      </c>
      <c r="J2" s="131" t="str">
        <f>IF($H2=0,"",VLOOKUP($H2,sez!$A$2:$D$259,4))</f>
        <v/>
      </c>
      <c r="K2" s="131" t="str">
        <f>'čt. M'!$B$6</f>
        <v/>
      </c>
      <c r="L2" s="131" t="str">
        <f>IF($K2="","bye",VLOOKUP($K2,sez!$A$2:$D$259,2))</f>
        <v>bye</v>
      </c>
      <c r="M2" s="131" t="str">
        <f>IF($K2="","",VLOOKUP($K2,sez!$A$2:$D$259,4))</f>
        <v/>
      </c>
      <c r="N2" s="89"/>
      <c r="O2" s="19" t="s">
        <v>19</v>
      </c>
      <c r="P2" s="19" t="s">
        <v>19</v>
      </c>
    </row>
    <row r="3" spans="1:256" x14ac:dyDescent="0.2">
      <c r="A3" s="131" t="str">
        <f>CONCATENATE("Čtyřhra ",úvod!$C$8,"M - 1.kolo")</f>
        <v>Čtyřhra U19M - 1.kolo</v>
      </c>
      <c r="B3" s="131">
        <f>'čt. M'!$B$7</f>
        <v>22</v>
      </c>
      <c r="C3" s="131" t="str">
        <f>IF($B3=0,"bye",VLOOKUP($B3,sez!$A$2:$D$259,2))</f>
        <v>Lysoněk Filip</v>
      </c>
      <c r="D3" s="131" t="str">
        <f>IF($B3=0,"",VLOOKUP($B3,sez!$A$2:$D$259,4))</f>
        <v>Velké Opatovice</v>
      </c>
      <c r="E3" s="131">
        <f>'čt. M'!$B$8</f>
        <v>20</v>
      </c>
      <c r="F3" s="131" t="str">
        <f>IF($E3="","bye",VLOOKUP($E3,sez!$A$2:$D$259,2))</f>
        <v>Ševčík Ondřej</v>
      </c>
      <c r="G3" s="131" t="str">
        <f>IF($E3="","",VLOOKUP($E3,sez!$A$2:$D$259,4))</f>
        <v>Velké Opatovice</v>
      </c>
      <c r="H3" s="131">
        <f>'čt. M'!$B$9</f>
        <v>11</v>
      </c>
      <c r="I3" s="131" t="str">
        <f>IF($H3=0,"bye",VLOOKUP($H3,sez!$A$2:$D$259,2))</f>
        <v>Krejčí David</v>
      </c>
      <c r="J3" s="131" t="str">
        <f>IF($H3=0,"",VLOOKUP($H3,sez!$A$2:$D$259,4))</f>
        <v>MS Brno</v>
      </c>
      <c r="K3" s="131">
        <f>'čt. M'!$B$10</f>
        <v>23</v>
      </c>
      <c r="L3" s="131" t="str">
        <f>IF($K3="","bye",VLOOKUP($K3,sez!$A$2:$D$259,2))</f>
        <v>Pluháček Adam</v>
      </c>
      <c r="M3" s="131" t="str">
        <f>IF($K3="","",VLOOKUP($K3,sez!$A$2:$D$259,4))</f>
        <v>Sokol Brno I</v>
      </c>
      <c r="N3" s="89"/>
      <c r="O3" s="19" t="s">
        <v>19</v>
      </c>
      <c r="P3" s="19" t="s">
        <v>19</v>
      </c>
    </row>
    <row r="4" spans="1:256" x14ac:dyDescent="0.2">
      <c r="A4" s="131" t="str">
        <f>CONCATENATE("Čtyřhra ",úvod!$C$8,"M - 1.kolo")</f>
        <v>Čtyřhra U19M - 1.kolo</v>
      </c>
      <c r="B4" s="131">
        <f>'čt. M'!$B$11</f>
        <v>19</v>
      </c>
      <c r="C4" s="131" t="str">
        <f>IF($B4=0,"bye",VLOOKUP($B4,sez!$A$2:$D$259,2))</f>
        <v>Chromník Martin</v>
      </c>
      <c r="D4" s="131" t="str">
        <f>IF($B4=0,"",VLOOKUP($B4,sez!$A$2:$D$259,4))</f>
        <v>STP Mikulov</v>
      </c>
      <c r="E4" s="131">
        <f>'čt. M'!$B$12</f>
        <v>7</v>
      </c>
      <c r="F4" s="131" t="str">
        <f>IF($E4="","bye",VLOOKUP($E4,sez!$A$2:$D$259,2))</f>
        <v>Němeček Radek</v>
      </c>
      <c r="G4" s="131" t="str">
        <f>IF($E4="","",VLOOKUP($E4,sez!$A$2:$D$259,4))</f>
        <v>MSK Břeclav</v>
      </c>
      <c r="H4" s="131">
        <f>'čt. M'!$B$13</f>
        <v>0</v>
      </c>
      <c r="I4" s="131" t="str">
        <f>IF($H4=0,"bye",VLOOKUP($H4,sez!$A$2:$D$259,2))</f>
        <v>bye</v>
      </c>
      <c r="J4" s="131" t="str">
        <f>IF($H4=0,"",VLOOKUP($H4,sez!$A$2:$D$259,4))</f>
        <v/>
      </c>
      <c r="K4" s="131" t="str">
        <f>'čt. M'!$B$14</f>
        <v/>
      </c>
      <c r="L4" s="131" t="str">
        <f>IF($K4="","bye",VLOOKUP($K4,sez!$A$2:$D$259,2))</f>
        <v>bye</v>
      </c>
      <c r="M4" s="131" t="str">
        <f>IF($K4="","",VLOOKUP($K4,sez!$A$2:$D$259,4))</f>
        <v/>
      </c>
      <c r="N4" s="89"/>
      <c r="O4" s="19" t="s">
        <v>19</v>
      </c>
      <c r="P4" s="19" t="s">
        <v>19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x14ac:dyDescent="0.2">
      <c r="A5" s="131" t="str">
        <f>CONCATENATE("Čtyřhra ",úvod!$C$8,"M - 1.kolo")</f>
        <v>Čtyřhra U19M - 1.kolo</v>
      </c>
      <c r="B5" s="131">
        <f>'čt. M'!$B$15</f>
        <v>0</v>
      </c>
      <c r="C5" s="131" t="str">
        <f>IF($B5=0,"bye",VLOOKUP($B5,sez!$A$2:$D$259,2))</f>
        <v>bye</v>
      </c>
      <c r="D5" s="131" t="str">
        <f>IF($B5=0,"",VLOOKUP($B5,sez!$A$2:$D$259,4))</f>
        <v/>
      </c>
      <c r="E5" s="131" t="str">
        <f>'čt. M'!$B$16</f>
        <v/>
      </c>
      <c r="F5" s="131" t="str">
        <f>IF($E5="","bye",VLOOKUP($E5,sez!$A$2:$D$259,2))</f>
        <v>bye</v>
      </c>
      <c r="G5" s="131" t="str">
        <f>IF($E5="","",VLOOKUP($E5,sez!$A$2:$D$259,4))</f>
        <v/>
      </c>
      <c r="H5" s="131">
        <f>'čt. M'!$B$17</f>
        <v>10</v>
      </c>
      <c r="I5" s="131" t="str">
        <f>IF($H5=0,"bye",VLOOKUP($H5,sez!$A$2:$D$259,2))</f>
        <v>Vincenec Oliver</v>
      </c>
      <c r="J5" s="131" t="str">
        <f>IF($H5=0,"",VLOOKUP($H5,sez!$A$2:$D$259,4))</f>
        <v>KST Vyškov</v>
      </c>
      <c r="K5" s="131">
        <f>'čt. M'!$B$18</f>
        <v>4</v>
      </c>
      <c r="L5" s="131" t="str">
        <f>IF($K5="","bye",VLOOKUP($K5,sez!$A$2:$D$259,2))</f>
        <v>Luska Petr</v>
      </c>
      <c r="M5" s="131" t="str">
        <f>IF($K5="","",VLOOKUP($K5,sez!$A$2:$D$259,4))</f>
        <v>KST Vyškov</v>
      </c>
      <c r="N5" s="89"/>
      <c r="O5" s="19" t="s">
        <v>19</v>
      </c>
      <c r="P5" s="19" t="s">
        <v>19</v>
      </c>
    </row>
    <row r="6" spans="1:256" x14ac:dyDescent="0.2">
      <c r="A6" s="131" t="str">
        <f>CONCATENATE("Čtyřhra ",úvod!$C$8,"M - 1.kolo")</f>
        <v>Čtyřhra U19M - 1.kolo</v>
      </c>
      <c r="B6" s="131">
        <f>'čt. M'!$B$19</f>
        <v>8</v>
      </c>
      <c r="C6" s="131" t="str">
        <f>IF($B6=0,"bye",VLOOKUP($B6,sez!$A$2:$D$259,2))</f>
        <v>Pokorný Martin</v>
      </c>
      <c r="D6" s="131" t="str">
        <f>IF($B6=0,"",VLOOKUP($B6,sez!$A$2:$D$259,4))</f>
        <v>KST Blansko</v>
      </c>
      <c r="E6" s="131">
        <f>'čt. M'!$B$20</f>
        <v>9</v>
      </c>
      <c r="F6" s="131" t="str">
        <f>IF($E6="","bye",VLOOKUP($E6,sez!$A$2:$D$259,2))</f>
        <v>Štěpánek Ondřej</v>
      </c>
      <c r="G6" s="131" t="str">
        <f>IF($E6="","",VLOOKUP($E6,sez!$A$2:$D$259,4))</f>
        <v>KST Blansko</v>
      </c>
      <c r="H6" s="131">
        <f>'čt. M'!$B$21</f>
        <v>0</v>
      </c>
      <c r="I6" s="131" t="str">
        <f>IF($H6=0,"bye",VLOOKUP($H6,sez!$A$2:$D$259,2))</f>
        <v>bye</v>
      </c>
      <c r="J6" s="131" t="str">
        <f>IF($H6=0,"",VLOOKUP($H6,sez!$A$2:$D$259,4))</f>
        <v/>
      </c>
      <c r="K6" s="131" t="str">
        <f>'čt. M'!$B$22</f>
        <v/>
      </c>
      <c r="L6" s="131" t="str">
        <f>IF($K6="","bye",VLOOKUP($K6,sez!$A$2:$D$259,2))</f>
        <v>bye</v>
      </c>
      <c r="M6" s="131" t="str">
        <f>IF($K6="","",VLOOKUP($K6,sez!$A$2:$D$259,4))</f>
        <v/>
      </c>
      <c r="N6" s="89"/>
      <c r="O6" s="19" t="s">
        <v>19</v>
      </c>
      <c r="P6" s="19" t="s">
        <v>19</v>
      </c>
    </row>
    <row r="7" spans="1:256" x14ac:dyDescent="0.2">
      <c r="A7" s="131" t="str">
        <f>CONCATENATE("Čtyřhra ",úvod!$C$8,"M - 1.kolo")</f>
        <v>Čtyřhra U19M - 1.kolo</v>
      </c>
      <c r="B7" s="131">
        <f>'čt. M'!$B$23</f>
        <v>0</v>
      </c>
      <c r="C7" s="131" t="str">
        <f>IF($B7=0,"bye",VLOOKUP($B7,sez!$A$2:$D$259,2))</f>
        <v>bye</v>
      </c>
      <c r="D7" s="131" t="str">
        <f>IF($B7=0,"",VLOOKUP($B7,sez!$A$2:$D$259,4))</f>
        <v/>
      </c>
      <c r="E7" s="131" t="str">
        <f>'čt. M'!$B$24</f>
        <v/>
      </c>
      <c r="F7" s="131" t="str">
        <f>IF($E7="","bye",VLOOKUP($E7,sez!$A$2:$D$259,2))</f>
        <v>bye</v>
      </c>
      <c r="G7" s="131" t="str">
        <f>IF($E7="","",VLOOKUP($E7,sez!$A$2:$D$259,4))</f>
        <v/>
      </c>
      <c r="H7" s="131">
        <f>'čt. M'!$B$25</f>
        <v>12</v>
      </c>
      <c r="I7" s="131" t="str">
        <f>IF($H7=0,"bye",VLOOKUP($H7,sez!$A$2:$D$259,2))</f>
        <v>Horníček Lukáš</v>
      </c>
      <c r="J7" s="131" t="str">
        <f>IF($H7=0,"",VLOOKUP($H7,sez!$A$2:$D$259,4))</f>
        <v>MS Brno</v>
      </c>
      <c r="K7" s="131">
        <f>'čt. M'!$B$26</f>
        <v>13</v>
      </c>
      <c r="L7" s="131" t="str">
        <f>IF($K7="","bye",VLOOKUP($K7,sez!$A$2:$D$259,2))</f>
        <v>Havránek Ondřej</v>
      </c>
      <c r="M7" s="131" t="str">
        <f>IF($K7="","",VLOOKUP($K7,sez!$A$2:$D$259,4))</f>
        <v>MS Brno</v>
      </c>
      <c r="N7" s="89"/>
      <c r="O7" s="19" t="s">
        <v>19</v>
      </c>
      <c r="P7" s="19" t="s">
        <v>19</v>
      </c>
    </row>
    <row r="8" spans="1:256" x14ac:dyDescent="0.2">
      <c r="A8" s="131" t="str">
        <f>CONCATENATE("Čtyřhra ",úvod!$C$8,"M - 1.kolo")</f>
        <v>Čtyřhra U19M - 1.kolo</v>
      </c>
      <c r="B8" s="131">
        <f>'čt. M'!$B$27</f>
        <v>26</v>
      </c>
      <c r="C8" s="131" t="str">
        <f>IF($B8=0,"bye",VLOOKUP($B8,sez!$A$2:$D$259,2))</f>
        <v>Vrtěl Maxim</v>
      </c>
      <c r="D8" s="131" t="str">
        <f>IF($B8=0,"",VLOOKUP($B8,sez!$A$2:$D$259,4))</f>
        <v>KST Blansko</v>
      </c>
      <c r="E8" s="131">
        <f>'čt. M'!$B$28</f>
        <v>27</v>
      </c>
      <c r="F8" s="131" t="str">
        <f>IF($E8="","bye",VLOOKUP($E8,sez!$A$2:$D$259,2))</f>
        <v>Wutka Michal</v>
      </c>
      <c r="G8" s="131" t="str">
        <f>IF($E8="","",VLOOKUP($E8,sez!$A$2:$D$259,4))</f>
        <v>KST Blansko</v>
      </c>
      <c r="H8" s="131">
        <f>'čt. M'!$B$29</f>
        <v>16</v>
      </c>
      <c r="I8" s="131" t="str">
        <f>IF($H8=0,"bye",VLOOKUP($H8,sez!$A$2:$D$259,2))</f>
        <v>Šimeček Robin</v>
      </c>
      <c r="J8" s="131" t="str">
        <f>IF($H8=0,"",VLOOKUP($H8,sez!$A$2:$D$259,4))</f>
        <v>TJ Holásky</v>
      </c>
      <c r="K8" s="131">
        <f>'čt. M'!$B$30</f>
        <v>21</v>
      </c>
      <c r="L8" s="131" t="str">
        <f>IF($K8="","bye",VLOOKUP($K8,sez!$A$2:$D$259,2))</f>
        <v>Lokaj David</v>
      </c>
      <c r="M8" s="131" t="str">
        <f>IF($K8="","",VLOOKUP($K8,sez!$A$2:$D$259,4))</f>
        <v>Letonice</v>
      </c>
      <c r="N8" s="89"/>
      <c r="O8" s="19" t="s">
        <v>19</v>
      </c>
      <c r="P8" s="19" t="s">
        <v>19</v>
      </c>
    </row>
    <row r="9" spans="1:256" x14ac:dyDescent="0.2">
      <c r="A9" s="131" t="str">
        <f>CONCATENATE("Čtyřhra ",úvod!$C$8,"M - 1.kolo")</f>
        <v>Čtyřhra U19M - 1.kolo</v>
      </c>
      <c r="B9" s="131">
        <f>'čt. M'!$B$31</f>
        <v>0</v>
      </c>
      <c r="C9" s="131" t="str">
        <f>IF($B9=0,"bye",VLOOKUP($B9,sez!$A$2:$D$259,2))</f>
        <v>bye</v>
      </c>
      <c r="D9" s="131" t="str">
        <f>IF($B9=0,"",VLOOKUP($B9,sez!$A$2:$D$259,4))</f>
        <v/>
      </c>
      <c r="E9" s="131" t="str">
        <f>'čt. M'!$B$32</f>
        <v/>
      </c>
      <c r="F9" s="131" t="str">
        <f>IF($E9="","bye",VLOOKUP($E9,sez!$A$2:$D$259,2))</f>
        <v>bye</v>
      </c>
      <c r="G9" s="131" t="str">
        <f>IF($E9="","",VLOOKUP($E9,sez!$A$2:$D$259,4))</f>
        <v/>
      </c>
      <c r="H9" s="131">
        <f>'čt. M'!$B$33</f>
        <v>3</v>
      </c>
      <c r="I9" s="131" t="str">
        <f>IF($H9=0,"bye",VLOOKUP($H9,sez!$A$2:$D$259,2))</f>
        <v>Krištof Lukáš</v>
      </c>
      <c r="J9" s="131" t="str">
        <f>IF($H9=0,"",VLOOKUP($H9,sez!$A$2:$D$259,4))</f>
        <v>Tišnov</v>
      </c>
      <c r="K9" s="131">
        <f>'čt. M'!$B$34</f>
        <v>6</v>
      </c>
      <c r="L9" s="131" t="str">
        <f>IF($K9="","bye",VLOOKUP($K9,sez!$A$2:$D$259,2))</f>
        <v>Pařízek Richard</v>
      </c>
      <c r="M9" s="131" t="str">
        <f>IF($K9="","",VLOOKUP($K9,sez!$A$2:$D$259,4))</f>
        <v>SKST Hodonín</v>
      </c>
      <c r="N9" s="89"/>
      <c r="O9" s="19" t="s">
        <v>19</v>
      </c>
      <c r="P9" s="19" t="s">
        <v>19</v>
      </c>
    </row>
    <row r="10" spans="1:256" x14ac:dyDescent="0.2">
      <c r="A10" s="2"/>
      <c r="B10" s="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2"/>
      <c r="N10" s="89"/>
      <c r="O10" s="19" t="s">
        <v>19</v>
      </c>
      <c r="P10" s="19" t="s">
        <v>19</v>
      </c>
    </row>
    <row r="11" spans="1:256" x14ac:dyDescent="0.2">
      <c r="A11" s="2" t="str">
        <f>CONCATENATE("Čtyřhra ",úvod!$C$8,"M - 2.kolo")</f>
        <v>Čtyřhra U19M - 2.kolo</v>
      </c>
      <c r="B11" s="2">
        <f>U2</f>
        <v>0</v>
      </c>
      <c r="C11" s="102" t="str">
        <f>IF($B11=0,"",VLOOKUP($B11,sez!$A$2:$D$259,2))</f>
        <v/>
      </c>
      <c r="D11" s="102" t="str">
        <f>IF($B11=0,"",VLOOKUP($B11,sez!$A$2:$D$259,4))</f>
        <v/>
      </c>
      <c r="E11" s="102">
        <f>W2</f>
        <v>0</v>
      </c>
      <c r="F11" s="102" t="str">
        <f>IF($E11=0,"",VLOOKUP($E11,sez!$A$2:$D$259,2))</f>
        <v/>
      </c>
      <c r="G11" s="102" t="str">
        <f>IF($E11=0,"",VLOOKUP($E11,sez!$A$2:$D$259,4))</f>
        <v/>
      </c>
      <c r="H11" s="102">
        <f>U3</f>
        <v>0</v>
      </c>
      <c r="I11" s="102" t="str">
        <f>IF($H11=0,"",VLOOKUP($H11,sez!$A$2:$D$259,2))</f>
        <v/>
      </c>
      <c r="J11" s="102" t="str">
        <f>IF($H11=0,"",VLOOKUP($H11,sez!$A$2:$D$259,4))</f>
        <v/>
      </c>
      <c r="K11" s="102">
        <f>W3</f>
        <v>0</v>
      </c>
      <c r="L11" s="102" t="str">
        <f>IF($K11=0,"",VLOOKUP($K11,sez!$A$2:$D$259,2))</f>
        <v/>
      </c>
      <c r="M11" s="2" t="str">
        <f>IF($K11=0,"",VLOOKUP($K11,sez!$A$2:$D$259,4))</f>
        <v/>
      </c>
      <c r="N11" s="89"/>
      <c r="O11" s="19" t="s">
        <v>19</v>
      </c>
      <c r="P11" s="19" t="s">
        <v>19</v>
      </c>
    </row>
    <row r="12" spans="1:256" x14ac:dyDescent="0.2">
      <c r="A12" s="2" t="str">
        <f>CONCATENATE("Čtyřhra ",úvod!$C$8,"M - 2.kolo")</f>
        <v>Čtyřhra U19M - 2.kolo</v>
      </c>
      <c r="B12" s="2">
        <f>U4</f>
        <v>0</v>
      </c>
      <c r="C12" s="102" t="str">
        <f>IF($B12=0,"",VLOOKUP($B12,sez!$A$2:$D$259,2))</f>
        <v/>
      </c>
      <c r="D12" s="102" t="str">
        <f>IF($B12=0,"",VLOOKUP($B12,sez!$A$2:$D$259,4))</f>
        <v/>
      </c>
      <c r="E12" s="102">
        <f>W4</f>
        <v>0</v>
      </c>
      <c r="F12" s="102" t="str">
        <f>IF($E12=0,"",VLOOKUP($E12,sez!$A$2:$D$259,2))</f>
        <v/>
      </c>
      <c r="G12" s="102" t="str">
        <f>IF($E12=0,"",VLOOKUP($E12,sez!$A$2:$D$259,4))</f>
        <v/>
      </c>
      <c r="H12" s="102">
        <f>U5</f>
        <v>0</v>
      </c>
      <c r="I12" s="102" t="str">
        <f>IF($H12=0,"",VLOOKUP($H12,sez!$A$2:$D$259,2))</f>
        <v/>
      </c>
      <c r="J12" s="102" t="str">
        <f>IF($H12=0,"",VLOOKUP($H12,sez!$A$2:$D$259,4))</f>
        <v/>
      </c>
      <c r="K12" s="102">
        <f>W5</f>
        <v>0</v>
      </c>
      <c r="L12" s="102" t="str">
        <f>IF($K12=0,"",VLOOKUP($K12,sez!$A$2:$D$259,2))</f>
        <v/>
      </c>
      <c r="M12" s="2" t="str">
        <f>IF($K12=0,"",VLOOKUP($K12,sez!$A$2:$D$259,4))</f>
        <v/>
      </c>
      <c r="N12" s="89"/>
      <c r="O12" s="19" t="s">
        <v>19</v>
      </c>
      <c r="P12" s="19" t="s">
        <v>19</v>
      </c>
    </row>
    <row r="13" spans="1:256" x14ac:dyDescent="0.2">
      <c r="A13" s="2" t="str">
        <f>CONCATENATE("Čtyřhra ",úvod!$C$8,"M - 2.kolo")</f>
        <v>Čtyřhra U19M - 2.kolo</v>
      </c>
      <c r="B13" s="2">
        <f>U6</f>
        <v>0</v>
      </c>
      <c r="C13" s="102" t="str">
        <f>IF($B13=0,"",VLOOKUP($B13,sez!$A$2:$D$259,2))</f>
        <v/>
      </c>
      <c r="D13" s="102" t="str">
        <f>IF($B13=0,"",VLOOKUP($B13,sez!$A$2:$D$259,4))</f>
        <v/>
      </c>
      <c r="E13" s="102">
        <f>W6</f>
        <v>0</v>
      </c>
      <c r="F13" s="102" t="str">
        <f>IF($E13=0,"",VLOOKUP($E13,sez!$A$2:$D$259,2))</f>
        <v/>
      </c>
      <c r="G13" s="102" t="str">
        <f>IF($E13=0,"",VLOOKUP($E13,sez!$A$2:$D$259,4))</f>
        <v/>
      </c>
      <c r="H13" s="102">
        <f>U7</f>
        <v>0</v>
      </c>
      <c r="I13" s="102" t="str">
        <f>IF($H13=0,"",VLOOKUP($H13,sez!$A$2:$D$259,2))</f>
        <v/>
      </c>
      <c r="J13" s="102" t="str">
        <f>IF($H13=0,"",VLOOKUP($H13,sez!$A$2:$D$259,4))</f>
        <v/>
      </c>
      <c r="K13" s="102">
        <f>W7</f>
        <v>0</v>
      </c>
      <c r="L13" s="102" t="str">
        <f>IF($K13=0,"",VLOOKUP($K13,sez!$A$2:$D$259,2))</f>
        <v/>
      </c>
      <c r="M13" s="2" t="str">
        <f>IF($K13=0,"",VLOOKUP($K13,sez!$A$2:$D$259,4))</f>
        <v/>
      </c>
      <c r="N13" s="89"/>
      <c r="O13" s="19" t="s">
        <v>19</v>
      </c>
      <c r="P13" s="19" t="s">
        <v>19</v>
      </c>
    </row>
    <row r="14" spans="1:256" x14ac:dyDescent="0.2">
      <c r="A14" s="2" t="str">
        <f>CONCATENATE("Čtyřhra ",úvod!$C$8,"M - 2.kolo")</f>
        <v>Čtyřhra U19M - 2.kolo</v>
      </c>
      <c r="B14" s="2">
        <f>U8</f>
        <v>0</v>
      </c>
      <c r="C14" s="102" t="str">
        <f>IF($B14=0,"",VLOOKUP($B14,sez!$A$2:$D$259,2))</f>
        <v/>
      </c>
      <c r="D14" s="102" t="str">
        <f>IF($B14=0,"",VLOOKUP($B14,sez!$A$2:$D$259,4))</f>
        <v/>
      </c>
      <c r="E14" s="102">
        <f>W8</f>
        <v>0</v>
      </c>
      <c r="F14" s="102" t="str">
        <f>IF($E14=0,"",VLOOKUP($E14,sez!$A$2:$D$259,2))</f>
        <v/>
      </c>
      <c r="G14" s="102" t="str">
        <f>IF($E14=0,"",VLOOKUP($E14,sez!$A$2:$D$259,4))</f>
        <v/>
      </c>
      <c r="H14" s="102">
        <f>U9</f>
        <v>0</v>
      </c>
      <c r="I14" s="102" t="str">
        <f>IF($H14=0,"",VLOOKUP($H14,sez!$A$2:$D$259,2))</f>
        <v/>
      </c>
      <c r="J14" s="102" t="str">
        <f>IF($H14=0,"",VLOOKUP($H14,sez!$A$2:$D$259,4))</f>
        <v/>
      </c>
      <c r="K14" s="102">
        <f>W9</f>
        <v>0</v>
      </c>
      <c r="L14" s="102" t="str">
        <f>IF($K14=0,"",VLOOKUP($K14,sez!$A$2:$D$259,2))</f>
        <v/>
      </c>
      <c r="M14" s="2" t="str">
        <f>IF($K14=0,"",VLOOKUP($K14,sez!$A$2:$D$259,4))</f>
        <v/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54"/>
  <sheetViews>
    <sheetView view="pageBreakPreview" topLeftCell="A31" zoomScale="75" zoomScaleNormal="75" workbookViewId="0">
      <selection activeCell="A3" sqref="A3:C3"/>
    </sheetView>
  </sheetViews>
  <sheetFormatPr defaultRowHeight="12.75" x14ac:dyDescent="0.2"/>
  <cols>
    <col min="1" max="6" width="13.7109375" style="90" customWidth="1"/>
    <col min="7" max="7" width="3.7109375" style="90" customWidth="1"/>
    <col min="8" max="13" width="13.7109375" style="90" customWidth="1"/>
    <col min="14" max="14" width="2.7109375" style="90" customWidth="1"/>
    <col min="15" max="16384" width="9.140625" style="90"/>
  </cols>
  <sheetData>
    <row r="1" spans="1:13" ht="36" customHeight="1" thickTop="1" x14ac:dyDescent="0.2">
      <c r="A1" s="172" t="str">
        <f>úvod!$C$6</f>
        <v>Krajské přebory</v>
      </c>
      <c r="B1" s="173"/>
      <c r="C1" s="173"/>
      <c r="D1" s="173"/>
      <c r="E1" s="173"/>
      <c r="F1" s="174"/>
      <c r="H1" s="172" t="str">
        <f>úvod!$C$6</f>
        <v>Krajské přebory</v>
      </c>
      <c r="I1" s="173"/>
      <c r="J1" s="173"/>
      <c r="K1" s="173"/>
      <c r="L1" s="173"/>
      <c r="M1" s="174"/>
    </row>
    <row r="2" spans="1:13" ht="36" customHeight="1" x14ac:dyDescent="0.2">
      <c r="A2" s="175" t="str">
        <f>'Z-debl'!A2</f>
        <v>Čtyřhra U19M - 1.kolo</v>
      </c>
      <c r="B2" s="176"/>
      <c r="C2" s="176"/>
      <c r="D2" s="176" t="s">
        <v>34</v>
      </c>
      <c r="E2" s="176"/>
      <c r="F2" s="91"/>
      <c r="H2" s="175" t="str">
        <f>'Z-debl'!A3</f>
        <v>Čtyřhra U19M - 1.kolo</v>
      </c>
      <c r="I2" s="176"/>
      <c r="J2" s="176"/>
      <c r="K2" s="176" t="s">
        <v>34</v>
      </c>
      <c r="L2" s="176"/>
      <c r="M2" s="91"/>
    </row>
    <row r="3" spans="1:13" ht="18" customHeight="1" x14ac:dyDescent="0.25">
      <c r="A3" s="186" t="str">
        <f>CONCATENATE('Z-debl'!B2," ",'Z-debl'!C2," (",'Z-debl'!D2,")")</f>
        <v>2 Nespěšný Hynek (MS Brno)</v>
      </c>
      <c r="B3" s="187"/>
      <c r="C3" s="188"/>
      <c r="D3" s="189" t="str">
        <f>CONCATENATE('Z-debl'!H2," ",'Z-debl'!I2," (",'Z-debl'!J2,")")</f>
        <v>0 bye ()</v>
      </c>
      <c r="E3" s="189"/>
      <c r="F3" s="190"/>
      <c r="G3" s="92"/>
      <c r="H3" s="186" t="str">
        <f>CONCATENATE('Z-debl'!B3," ",'Z-debl'!C3," (",'Z-debl'!D3,")")</f>
        <v>22 Lysoněk Filip (Velké Opatovice)</v>
      </c>
      <c r="I3" s="187"/>
      <c r="J3" s="188"/>
      <c r="K3" s="189" t="str">
        <f>CONCATENATE('Z-debl'!H3," ",'Z-debl'!I3," (",'Z-debl'!J3,")")</f>
        <v>11 Krejčí David (MS Brno)</v>
      </c>
      <c r="L3" s="189"/>
      <c r="M3" s="190"/>
    </row>
    <row r="4" spans="1:13" ht="18" customHeight="1" x14ac:dyDescent="0.25">
      <c r="A4" s="181" t="str">
        <f>CONCATENATE('Z-debl'!E2," ",'Z-debl'!F2," (",'Z-debl'!G2,")")</f>
        <v>5 Drápal Metoděj (MS Brno)</v>
      </c>
      <c r="B4" s="182"/>
      <c r="C4" s="183"/>
      <c r="D4" s="184" t="str">
        <f>CONCATENATE('Z-debl'!K2," ",'Z-debl'!L2," (",'Z-debl'!M2,")")</f>
        <v xml:space="preserve"> bye ()</v>
      </c>
      <c r="E4" s="184"/>
      <c r="F4" s="185"/>
      <c r="G4" s="92"/>
      <c r="H4" s="181" t="str">
        <f>CONCATENATE('Z-debl'!E3," ",'Z-debl'!F3," (",'Z-debl'!G3,")")</f>
        <v>20 Ševčík Ondřej (Velké Opatovice)</v>
      </c>
      <c r="I4" s="182"/>
      <c r="J4" s="183"/>
      <c r="K4" s="184" t="str">
        <f>CONCATENATE('Z-debl'!K3," ",'Z-debl'!L3," (",'Z-debl'!M3,")")</f>
        <v>23 Pluháček Adam (Sokol Brno I)</v>
      </c>
      <c r="L4" s="184"/>
      <c r="M4" s="185"/>
    </row>
    <row r="5" spans="1:13" ht="21.75" customHeight="1" x14ac:dyDescent="0.2">
      <c r="A5" s="166"/>
      <c r="B5" s="167"/>
      <c r="C5" s="167"/>
      <c r="D5" s="167"/>
      <c r="E5" s="167"/>
      <c r="F5" s="168"/>
      <c r="G5" s="93"/>
      <c r="H5" s="166"/>
      <c r="I5" s="167"/>
      <c r="J5" s="167"/>
      <c r="K5" s="167"/>
      <c r="L5" s="167"/>
      <c r="M5" s="168"/>
    </row>
    <row r="6" spans="1:13" x14ac:dyDescent="0.2">
      <c r="A6" s="94" t="s">
        <v>26</v>
      </c>
      <c r="B6" s="95" t="s">
        <v>27</v>
      </c>
      <c r="C6" s="95" t="s">
        <v>28</v>
      </c>
      <c r="D6" s="95" t="s">
        <v>29</v>
      </c>
      <c r="E6" s="95" t="s">
        <v>30</v>
      </c>
      <c r="F6" s="96" t="s">
        <v>31</v>
      </c>
      <c r="H6" s="94" t="s">
        <v>26</v>
      </c>
      <c r="I6" s="95" t="s">
        <v>27</v>
      </c>
      <c r="J6" s="95" t="s">
        <v>28</v>
      </c>
      <c r="K6" s="95" t="s">
        <v>29</v>
      </c>
      <c r="L6" s="95" t="s">
        <v>30</v>
      </c>
      <c r="M6" s="96" t="s">
        <v>31</v>
      </c>
    </row>
    <row r="7" spans="1:13" ht="36" customHeight="1" x14ac:dyDescent="0.2">
      <c r="A7" s="97"/>
      <c r="B7" s="98"/>
      <c r="C7" s="98"/>
      <c r="D7" s="98"/>
      <c r="E7" s="98"/>
      <c r="F7" s="99"/>
      <c r="H7" s="97"/>
      <c r="I7" s="98"/>
      <c r="J7" s="98"/>
      <c r="K7" s="98"/>
      <c r="L7" s="98"/>
      <c r="M7" s="99"/>
    </row>
    <row r="8" spans="1:13" ht="36" customHeight="1" thickBot="1" x14ac:dyDescent="0.25">
      <c r="A8" s="169" t="s">
        <v>32</v>
      </c>
      <c r="B8" s="170"/>
      <c r="C8" s="170"/>
      <c r="D8" s="170" t="s">
        <v>33</v>
      </c>
      <c r="E8" s="170"/>
      <c r="F8" s="171"/>
      <c r="H8" s="169" t="s">
        <v>32</v>
      </c>
      <c r="I8" s="170"/>
      <c r="J8" s="170"/>
      <c r="K8" s="170" t="s">
        <v>33</v>
      </c>
      <c r="L8" s="170"/>
      <c r="M8" s="171"/>
    </row>
    <row r="9" spans="1:13" ht="18" customHeight="1" thickTop="1" thickBot="1" x14ac:dyDescent="0.25"/>
    <row r="10" spans="1:13" ht="37.5" customHeight="1" thickTop="1" x14ac:dyDescent="0.2">
      <c r="A10" s="172" t="str">
        <f>úvod!$C$6</f>
        <v>Krajské přebory</v>
      </c>
      <c r="B10" s="173"/>
      <c r="C10" s="173"/>
      <c r="D10" s="173"/>
      <c r="E10" s="173"/>
      <c r="F10" s="174"/>
      <c r="H10" s="172" t="str">
        <f>úvod!$C$6</f>
        <v>Krajské přebory</v>
      </c>
      <c r="I10" s="173"/>
      <c r="J10" s="173"/>
      <c r="K10" s="173"/>
      <c r="L10" s="173"/>
      <c r="M10" s="174"/>
    </row>
    <row r="11" spans="1:13" ht="37.5" customHeight="1" x14ac:dyDescent="0.2">
      <c r="A11" s="175" t="str">
        <f>'Z-debl'!A4</f>
        <v>Čtyřhra U19M - 1.kolo</v>
      </c>
      <c r="B11" s="176"/>
      <c r="C11" s="176"/>
      <c r="D11" s="176" t="s">
        <v>34</v>
      </c>
      <c r="E11" s="176"/>
      <c r="F11" s="91"/>
      <c r="H11" s="175" t="str">
        <f>'Z-debl'!A5</f>
        <v>Čtyřhra U19M - 1.kolo</v>
      </c>
      <c r="I11" s="176"/>
      <c r="J11" s="176"/>
      <c r="K11" s="176" t="s">
        <v>34</v>
      </c>
      <c r="L11" s="176"/>
      <c r="M11" s="91"/>
    </row>
    <row r="12" spans="1:13" ht="18" customHeight="1" x14ac:dyDescent="0.25">
      <c r="A12" s="186" t="str">
        <f>CONCATENATE('Z-debl'!B4," ",'Z-debl'!C4," (",'Z-debl'!D4,")")</f>
        <v>19 Chromník Martin (STP Mikulov)</v>
      </c>
      <c r="B12" s="187"/>
      <c r="C12" s="188"/>
      <c r="D12" s="189" t="str">
        <f>CONCATENATE('Z-debl'!H4," ",'Z-debl'!I4," (",'Z-debl'!J4,")")</f>
        <v>0 bye ()</v>
      </c>
      <c r="E12" s="189"/>
      <c r="F12" s="190"/>
      <c r="G12" s="92"/>
      <c r="H12" s="186" t="str">
        <f>CONCATENATE('Z-debl'!B5," ",'Z-debl'!C5," (",'Z-debl'!D5,")")</f>
        <v>0 bye ()</v>
      </c>
      <c r="I12" s="187"/>
      <c r="J12" s="188"/>
      <c r="K12" s="189" t="str">
        <f>CONCATENATE('Z-debl'!H5," ",'Z-debl'!I5," (",'Z-debl'!J5,")")</f>
        <v>10 Vincenec Oliver (KST Vyškov)</v>
      </c>
      <c r="L12" s="189"/>
      <c r="M12" s="190"/>
    </row>
    <row r="13" spans="1:13" ht="18" customHeight="1" x14ac:dyDescent="0.25">
      <c r="A13" s="181" t="str">
        <f>CONCATENATE('Z-debl'!E4," ",'Z-debl'!F4," (",'Z-debl'!G4,")")</f>
        <v>7 Němeček Radek (MSK Břeclav)</v>
      </c>
      <c r="B13" s="182"/>
      <c r="C13" s="183"/>
      <c r="D13" s="184" t="str">
        <f>CONCATENATE('Z-debl'!K4," ",'Z-debl'!L4," (",'Z-debl'!M4,")")</f>
        <v xml:space="preserve"> bye ()</v>
      </c>
      <c r="E13" s="184"/>
      <c r="F13" s="185"/>
      <c r="G13" s="92"/>
      <c r="H13" s="181" t="str">
        <f>CONCATENATE('Z-debl'!E5," ",'Z-debl'!F5," (",'Z-debl'!G5,")")</f>
        <v xml:space="preserve"> bye ()</v>
      </c>
      <c r="I13" s="182"/>
      <c r="J13" s="183"/>
      <c r="K13" s="184" t="str">
        <f>CONCATENATE('Z-debl'!K5," ",'Z-debl'!L5," (",'Z-debl'!M5,")")</f>
        <v>4 Luska Petr (KST Vyškov)</v>
      </c>
      <c r="L13" s="184"/>
      <c r="M13" s="185"/>
    </row>
    <row r="14" spans="1:13" ht="21.75" customHeight="1" x14ac:dyDescent="0.2">
      <c r="A14" s="166"/>
      <c r="B14" s="167"/>
      <c r="C14" s="167"/>
      <c r="D14" s="167"/>
      <c r="E14" s="167"/>
      <c r="F14" s="168"/>
      <c r="H14" s="166"/>
      <c r="I14" s="167"/>
      <c r="J14" s="167"/>
      <c r="K14" s="167"/>
      <c r="L14" s="167"/>
      <c r="M14" s="168"/>
    </row>
    <row r="15" spans="1:13" x14ac:dyDescent="0.2">
      <c r="A15" s="94" t="s">
        <v>26</v>
      </c>
      <c r="B15" s="95" t="s">
        <v>27</v>
      </c>
      <c r="C15" s="95" t="s">
        <v>28</v>
      </c>
      <c r="D15" s="95" t="s">
        <v>29</v>
      </c>
      <c r="E15" s="95" t="s">
        <v>30</v>
      </c>
      <c r="F15" s="96" t="s">
        <v>31</v>
      </c>
      <c r="H15" s="94" t="s">
        <v>26</v>
      </c>
      <c r="I15" s="95" t="s">
        <v>27</v>
      </c>
      <c r="J15" s="95" t="s">
        <v>28</v>
      </c>
      <c r="K15" s="95" t="s">
        <v>29</v>
      </c>
      <c r="L15" s="95" t="s">
        <v>30</v>
      </c>
      <c r="M15" s="96" t="s">
        <v>31</v>
      </c>
    </row>
    <row r="16" spans="1:13" ht="36" customHeight="1" x14ac:dyDescent="0.2">
      <c r="A16" s="97"/>
      <c r="B16" s="98"/>
      <c r="C16" s="98"/>
      <c r="D16" s="98"/>
      <c r="E16" s="98"/>
      <c r="F16" s="99"/>
      <c r="H16" s="97"/>
      <c r="I16" s="98"/>
      <c r="J16" s="98"/>
      <c r="K16" s="98"/>
      <c r="L16" s="98"/>
      <c r="M16" s="99"/>
    </row>
    <row r="17" spans="1:13" ht="36" customHeight="1" thickBot="1" x14ac:dyDescent="0.25">
      <c r="A17" s="169" t="s">
        <v>32</v>
      </c>
      <c r="B17" s="170"/>
      <c r="C17" s="170"/>
      <c r="D17" s="170" t="s">
        <v>33</v>
      </c>
      <c r="E17" s="170"/>
      <c r="F17" s="171"/>
      <c r="H17" s="169" t="s">
        <v>32</v>
      </c>
      <c r="I17" s="170"/>
      <c r="J17" s="170"/>
      <c r="K17" s="170" t="s">
        <v>33</v>
      </c>
      <c r="L17" s="170"/>
      <c r="M17" s="171"/>
    </row>
    <row r="18" spans="1:13" ht="18.75" customHeight="1" thickTop="1" thickBot="1" x14ac:dyDescent="0.25"/>
    <row r="19" spans="1:13" ht="37.5" customHeight="1" thickTop="1" x14ac:dyDescent="0.2">
      <c r="A19" s="172" t="str">
        <f>úvod!$C$6</f>
        <v>Krajské přebory</v>
      </c>
      <c r="B19" s="173"/>
      <c r="C19" s="173"/>
      <c r="D19" s="173"/>
      <c r="E19" s="173"/>
      <c r="F19" s="174"/>
      <c r="H19" s="172" t="str">
        <f>úvod!$C$6</f>
        <v>Krajské přebory</v>
      </c>
      <c r="I19" s="173"/>
      <c r="J19" s="173"/>
      <c r="K19" s="173"/>
      <c r="L19" s="173"/>
      <c r="M19" s="174"/>
    </row>
    <row r="20" spans="1:13" ht="37.5" customHeight="1" x14ac:dyDescent="0.2">
      <c r="A20" s="175" t="str">
        <f>'Z-debl'!A6</f>
        <v>Čtyřhra U19M - 1.kolo</v>
      </c>
      <c r="B20" s="176"/>
      <c r="C20" s="176"/>
      <c r="D20" s="176" t="s">
        <v>34</v>
      </c>
      <c r="E20" s="176"/>
      <c r="F20" s="91"/>
      <c r="H20" s="175" t="str">
        <f>'Z-debl'!A7</f>
        <v>Čtyřhra U19M - 1.kolo</v>
      </c>
      <c r="I20" s="176"/>
      <c r="J20" s="176"/>
      <c r="K20" s="176" t="s">
        <v>34</v>
      </c>
      <c r="L20" s="176"/>
      <c r="M20" s="91"/>
    </row>
    <row r="21" spans="1:13" ht="18" customHeight="1" x14ac:dyDescent="0.25">
      <c r="A21" s="186" t="str">
        <f>CONCATENATE('Z-debl'!B6," ",'Z-debl'!C6," (",'Z-debl'!D6,")")</f>
        <v>8 Pokorný Martin (KST Blansko)</v>
      </c>
      <c r="B21" s="187"/>
      <c r="C21" s="188"/>
      <c r="D21" s="189" t="str">
        <f>CONCATENATE('Z-debl'!H6," ",'Z-debl'!I6," (",'Z-debl'!J6,")")</f>
        <v>0 bye ()</v>
      </c>
      <c r="E21" s="189"/>
      <c r="F21" s="190"/>
      <c r="G21" s="92"/>
      <c r="H21" s="186" t="str">
        <f>CONCATENATE('Z-debl'!B7," ",'Z-debl'!C7," (",'Z-debl'!D7,")")</f>
        <v>0 bye ()</v>
      </c>
      <c r="I21" s="187"/>
      <c r="J21" s="188"/>
      <c r="K21" s="189" t="str">
        <f>CONCATENATE('Z-debl'!H7," ",'Z-debl'!I7," (",'Z-debl'!J7,")")</f>
        <v>12 Horníček Lukáš (MS Brno)</v>
      </c>
      <c r="L21" s="189"/>
      <c r="M21" s="190"/>
    </row>
    <row r="22" spans="1:13" ht="17.25" customHeight="1" x14ac:dyDescent="0.25">
      <c r="A22" s="181" t="str">
        <f>CONCATENATE('Z-debl'!E6," ",'Z-debl'!F6," (",'Z-debl'!G6,")")</f>
        <v>9 Štěpánek Ondřej (KST Blansko)</v>
      </c>
      <c r="B22" s="182"/>
      <c r="C22" s="183"/>
      <c r="D22" s="184" t="str">
        <f>CONCATENATE('Z-debl'!K6," ",'Z-debl'!L6," (",'Z-debl'!M6,")")</f>
        <v xml:space="preserve"> bye ()</v>
      </c>
      <c r="E22" s="184"/>
      <c r="F22" s="185"/>
      <c r="G22" s="92"/>
      <c r="H22" s="181" t="str">
        <f>CONCATENATE('Z-debl'!E7," ",'Z-debl'!F7," (",'Z-debl'!G7,")")</f>
        <v xml:space="preserve"> bye ()</v>
      </c>
      <c r="I22" s="182"/>
      <c r="J22" s="183"/>
      <c r="K22" s="184" t="str">
        <f>CONCATENATE('Z-debl'!K7," ",'Z-debl'!L7," (",'Z-debl'!M7,")")</f>
        <v>13 Havránek Ondřej (MS Brno)</v>
      </c>
      <c r="L22" s="184"/>
      <c r="M22" s="185"/>
    </row>
    <row r="23" spans="1:13" ht="20.25" customHeight="1" x14ac:dyDescent="0.2">
      <c r="A23" s="166"/>
      <c r="B23" s="167"/>
      <c r="C23" s="167"/>
      <c r="D23" s="167"/>
      <c r="E23" s="167"/>
      <c r="F23" s="168"/>
      <c r="H23" s="166"/>
      <c r="I23" s="167"/>
      <c r="J23" s="167"/>
      <c r="K23" s="167"/>
      <c r="L23" s="167"/>
      <c r="M23" s="168"/>
    </row>
    <row r="24" spans="1:13" x14ac:dyDescent="0.2">
      <c r="A24" s="94" t="s">
        <v>26</v>
      </c>
      <c r="B24" s="95" t="s">
        <v>27</v>
      </c>
      <c r="C24" s="95" t="s">
        <v>28</v>
      </c>
      <c r="D24" s="95" t="s">
        <v>29</v>
      </c>
      <c r="E24" s="95" t="s">
        <v>30</v>
      </c>
      <c r="F24" s="96" t="s">
        <v>31</v>
      </c>
      <c r="H24" s="94" t="s">
        <v>26</v>
      </c>
      <c r="I24" s="95" t="s">
        <v>27</v>
      </c>
      <c r="J24" s="95" t="s">
        <v>28</v>
      </c>
      <c r="K24" s="95" t="s">
        <v>29</v>
      </c>
      <c r="L24" s="95" t="s">
        <v>30</v>
      </c>
      <c r="M24" s="96" t="s">
        <v>31</v>
      </c>
    </row>
    <row r="25" spans="1:13" ht="36" customHeight="1" x14ac:dyDescent="0.2">
      <c r="A25" s="97"/>
      <c r="B25" s="98"/>
      <c r="C25" s="98"/>
      <c r="D25" s="98"/>
      <c r="E25" s="98"/>
      <c r="F25" s="99"/>
      <c r="H25" s="97"/>
      <c r="I25" s="98"/>
      <c r="J25" s="98"/>
      <c r="K25" s="98"/>
      <c r="L25" s="98"/>
      <c r="M25" s="99"/>
    </row>
    <row r="26" spans="1:13" ht="36" customHeight="1" thickBot="1" x14ac:dyDescent="0.25">
      <c r="A26" s="169" t="s">
        <v>32</v>
      </c>
      <c r="B26" s="170"/>
      <c r="C26" s="170"/>
      <c r="D26" s="170" t="s">
        <v>33</v>
      </c>
      <c r="E26" s="170"/>
      <c r="F26" s="171"/>
      <c r="H26" s="169" t="s">
        <v>32</v>
      </c>
      <c r="I26" s="170"/>
      <c r="J26" s="170"/>
      <c r="K26" s="170" t="s">
        <v>33</v>
      </c>
      <c r="L26" s="170"/>
      <c r="M26" s="171"/>
    </row>
    <row r="27" spans="1:13" ht="12" customHeight="1" thickTop="1" thickBot="1" x14ac:dyDescent="0.25"/>
    <row r="28" spans="1:13" ht="37.5" customHeight="1" thickTop="1" x14ac:dyDescent="0.2">
      <c r="A28" s="172" t="str">
        <f>úvod!$C$6</f>
        <v>Krajské přebory</v>
      </c>
      <c r="B28" s="173"/>
      <c r="C28" s="173"/>
      <c r="D28" s="173"/>
      <c r="E28" s="173"/>
      <c r="F28" s="174"/>
      <c r="H28" s="172" t="str">
        <f>úvod!$C$6</f>
        <v>Krajské přebory</v>
      </c>
      <c r="I28" s="173"/>
      <c r="J28" s="173"/>
      <c r="K28" s="173"/>
      <c r="L28" s="173"/>
      <c r="M28" s="174"/>
    </row>
    <row r="29" spans="1:13" ht="37.5" customHeight="1" x14ac:dyDescent="0.2">
      <c r="A29" s="175" t="str">
        <f>'Z-debl'!A8</f>
        <v>Čtyřhra U19M - 1.kolo</v>
      </c>
      <c r="B29" s="176"/>
      <c r="C29" s="176"/>
      <c r="D29" s="176" t="s">
        <v>34</v>
      </c>
      <c r="E29" s="176"/>
      <c r="F29" s="91"/>
      <c r="H29" s="175" t="str">
        <f>'Z-debl'!A9</f>
        <v>Čtyřhra U19M - 1.kolo</v>
      </c>
      <c r="I29" s="176"/>
      <c r="J29" s="176"/>
      <c r="K29" s="176" t="s">
        <v>34</v>
      </c>
      <c r="L29" s="176"/>
      <c r="M29" s="91"/>
    </row>
    <row r="30" spans="1:13" ht="17.25" customHeight="1" x14ac:dyDescent="0.2">
      <c r="A30" s="177" t="str">
        <f>CONCATENATE('Z-debl'!B8," ",'Z-debl'!C8," (",'Z-debl'!D8,")")</f>
        <v>26 Vrtěl Maxim (KST Blansko)</v>
      </c>
      <c r="B30" s="178"/>
      <c r="C30" s="179"/>
      <c r="D30" s="176" t="str">
        <f>CONCATENATE('Z-debl'!H8," ",'Z-debl'!I8," (",'Z-debl'!J8,")")</f>
        <v>16 Šimeček Robin (TJ Holásky)</v>
      </c>
      <c r="E30" s="176"/>
      <c r="F30" s="180"/>
      <c r="H30" s="177" t="str">
        <f>CONCATENATE('Z-debl'!B9," ",'Z-debl'!C9," (",'Z-debl'!D9,")")</f>
        <v>0 bye ()</v>
      </c>
      <c r="I30" s="178"/>
      <c r="J30" s="179"/>
      <c r="K30" s="176" t="str">
        <f>CONCATENATE('Z-debl'!H9," ",'Z-debl'!I9," (",'Z-debl'!J9,")")</f>
        <v>3 Krištof Lukáš (Tišnov)</v>
      </c>
      <c r="L30" s="176"/>
      <c r="M30" s="180"/>
    </row>
    <row r="31" spans="1:13" ht="17.25" customHeight="1" x14ac:dyDescent="0.25">
      <c r="A31" s="181" t="str">
        <f>CONCATENATE('Z-debl'!E8," ",'Z-debl'!F8," (",'Z-debl'!G8,")")</f>
        <v>27 Wutka Michal (KST Blansko)</v>
      </c>
      <c r="B31" s="182"/>
      <c r="C31" s="183"/>
      <c r="D31" s="184" t="str">
        <f>CONCATENATE('Z-debl'!K8," ",'Z-debl'!L8," (",'Z-debl'!M8,")")</f>
        <v>21 Lokaj David (Letonice)</v>
      </c>
      <c r="E31" s="184"/>
      <c r="F31" s="185"/>
      <c r="G31" s="92"/>
      <c r="H31" s="181" t="str">
        <f>CONCATENATE('Z-debl'!E9," ",'Z-debl'!F9," (",'Z-debl'!G9,")")</f>
        <v xml:space="preserve"> bye ()</v>
      </c>
      <c r="I31" s="182"/>
      <c r="J31" s="183"/>
      <c r="K31" s="184" t="str">
        <f>CONCATENATE('Z-debl'!K9," ",'Z-debl'!L9," (",'Z-debl'!M9,")")</f>
        <v>6 Pařízek Richard (SKST Hodonín)</v>
      </c>
      <c r="L31" s="184"/>
      <c r="M31" s="185"/>
    </row>
    <row r="32" spans="1:13" ht="21.75" customHeight="1" x14ac:dyDescent="0.2">
      <c r="A32" s="166"/>
      <c r="B32" s="167"/>
      <c r="C32" s="167"/>
      <c r="D32" s="167"/>
      <c r="E32" s="167"/>
      <c r="F32" s="168"/>
      <c r="H32" s="166"/>
      <c r="I32" s="167"/>
      <c r="J32" s="167"/>
      <c r="K32" s="167"/>
      <c r="L32" s="167"/>
      <c r="M32" s="168"/>
    </row>
    <row r="33" spans="1:13" x14ac:dyDescent="0.2">
      <c r="A33" s="94" t="s">
        <v>26</v>
      </c>
      <c r="B33" s="95" t="s">
        <v>27</v>
      </c>
      <c r="C33" s="95" t="s">
        <v>28</v>
      </c>
      <c r="D33" s="95" t="s">
        <v>29</v>
      </c>
      <c r="E33" s="95" t="s">
        <v>30</v>
      </c>
      <c r="F33" s="96" t="s">
        <v>31</v>
      </c>
      <c r="H33" s="94" t="s">
        <v>26</v>
      </c>
      <c r="I33" s="95" t="s">
        <v>27</v>
      </c>
      <c r="J33" s="95" t="s">
        <v>28</v>
      </c>
      <c r="K33" s="95" t="s">
        <v>29</v>
      </c>
      <c r="L33" s="95" t="s">
        <v>30</v>
      </c>
      <c r="M33" s="96" t="s">
        <v>31</v>
      </c>
    </row>
    <row r="34" spans="1:13" ht="36" customHeight="1" x14ac:dyDescent="0.2">
      <c r="A34" s="97"/>
      <c r="B34" s="98"/>
      <c r="C34" s="98"/>
      <c r="D34" s="98"/>
      <c r="E34" s="98"/>
      <c r="F34" s="99"/>
      <c r="H34" s="97"/>
      <c r="I34" s="98"/>
      <c r="J34" s="98"/>
      <c r="K34" s="98"/>
      <c r="L34" s="98"/>
      <c r="M34" s="99"/>
    </row>
    <row r="35" spans="1:13" ht="36" customHeight="1" thickBot="1" x14ac:dyDescent="0.25">
      <c r="A35" s="169" t="s">
        <v>32</v>
      </c>
      <c r="B35" s="170"/>
      <c r="C35" s="170"/>
      <c r="D35" s="170" t="s">
        <v>33</v>
      </c>
      <c r="E35" s="170"/>
      <c r="F35" s="171"/>
      <c r="H35" s="169" t="s">
        <v>32</v>
      </c>
      <c r="I35" s="170"/>
      <c r="J35" s="170"/>
      <c r="K35" s="170" t="s">
        <v>33</v>
      </c>
      <c r="L35" s="170"/>
      <c r="M35" s="171"/>
    </row>
    <row r="36" spans="1:13" ht="14.25" thickTop="1" thickBot="1" x14ac:dyDescent="0.25"/>
    <row r="37" spans="1:13" ht="37.5" customHeight="1" thickTop="1" x14ac:dyDescent="0.2">
      <c r="A37" s="172" t="str">
        <f>úvod!$C$6</f>
        <v>Krajské přebory</v>
      </c>
      <c r="B37" s="173"/>
      <c r="C37" s="173"/>
      <c r="D37" s="173"/>
      <c r="E37" s="173"/>
      <c r="F37" s="174"/>
      <c r="H37" s="172" t="str">
        <f>úvod!$C$6</f>
        <v>Krajské přebory</v>
      </c>
      <c r="I37" s="173"/>
      <c r="J37" s="173"/>
      <c r="K37" s="173"/>
      <c r="L37" s="173"/>
      <c r="M37" s="174"/>
    </row>
    <row r="38" spans="1:13" ht="37.5" customHeight="1" x14ac:dyDescent="0.2">
      <c r="A38" s="175">
        <f>'Z-debl'!A10</f>
        <v>0</v>
      </c>
      <c r="B38" s="176"/>
      <c r="C38" s="176"/>
      <c r="D38" s="176" t="s">
        <v>34</v>
      </c>
      <c r="E38" s="176"/>
      <c r="F38" s="91"/>
      <c r="H38" s="175" t="str">
        <f>'Z-debl'!A11</f>
        <v>Čtyřhra U19M - 2.kolo</v>
      </c>
      <c r="I38" s="176"/>
      <c r="J38" s="176"/>
      <c r="K38" s="176" t="s">
        <v>34</v>
      </c>
      <c r="L38" s="176"/>
      <c r="M38" s="91"/>
    </row>
    <row r="39" spans="1:13" ht="17.25" customHeight="1" x14ac:dyDescent="0.2">
      <c r="A39" s="177" t="str">
        <f>CONCATENATE('Z-debl'!B10," ",'Z-debl'!C10," (",'Z-debl'!D10,")")</f>
        <v xml:space="preserve">  ()</v>
      </c>
      <c r="B39" s="178"/>
      <c r="C39" s="179"/>
      <c r="D39" s="176" t="str">
        <f>CONCATENATE('Z-debl'!H10," ",'Z-debl'!I10," (",'Z-debl'!J10,")")</f>
        <v xml:space="preserve">  ()</v>
      </c>
      <c r="E39" s="176"/>
      <c r="F39" s="180"/>
      <c r="H39" s="177" t="str">
        <f>CONCATENATE('Z-debl'!B11," ",'Z-debl'!C11," (",'Z-debl'!D11,")")</f>
        <v>0  ()</v>
      </c>
      <c r="I39" s="178"/>
      <c r="J39" s="179"/>
      <c r="K39" s="176" t="str">
        <f>CONCATENATE('Z-debl'!H11," ",'Z-debl'!I11," (",'Z-debl'!J11,")")</f>
        <v>0  ()</v>
      </c>
      <c r="L39" s="176"/>
      <c r="M39" s="180"/>
    </row>
    <row r="40" spans="1:13" ht="17.25" customHeight="1" x14ac:dyDescent="0.25">
      <c r="A40" s="181" t="str">
        <f>CONCATENATE('Z-debl'!E10," ",'Z-debl'!F10," (",'Z-debl'!G10,")")</f>
        <v xml:space="preserve">  ()</v>
      </c>
      <c r="B40" s="182"/>
      <c r="C40" s="183"/>
      <c r="D40" s="184" t="str">
        <f>CONCATENATE('Z-debl'!K10," ",'Z-debl'!L10," (",'Z-debl'!M10,")")</f>
        <v xml:space="preserve">  ()</v>
      </c>
      <c r="E40" s="184"/>
      <c r="F40" s="185"/>
      <c r="G40" s="92"/>
      <c r="H40" s="181" t="str">
        <f>CONCATENATE('Z-debl'!E11," ",'Z-debl'!F11," (",'Z-debl'!G11,")")</f>
        <v>0  ()</v>
      </c>
      <c r="I40" s="182"/>
      <c r="J40" s="183"/>
      <c r="K40" s="184" t="str">
        <f>CONCATENATE('Z-debl'!K11," ",'Z-debl'!L11," (",'Z-debl'!M11,")")</f>
        <v>0  ()</v>
      </c>
      <c r="L40" s="184"/>
      <c r="M40" s="185"/>
    </row>
    <row r="41" spans="1:13" ht="21" customHeight="1" x14ac:dyDescent="0.2">
      <c r="A41" s="166"/>
      <c r="B41" s="167"/>
      <c r="C41" s="167"/>
      <c r="D41" s="167"/>
      <c r="E41" s="167"/>
      <c r="F41" s="168"/>
      <c r="H41" s="166"/>
      <c r="I41" s="167"/>
      <c r="J41" s="167"/>
      <c r="K41" s="167"/>
      <c r="L41" s="167"/>
      <c r="M41" s="168"/>
    </row>
    <row r="42" spans="1:13" x14ac:dyDescent="0.2">
      <c r="A42" s="94" t="s">
        <v>26</v>
      </c>
      <c r="B42" s="95" t="s">
        <v>27</v>
      </c>
      <c r="C42" s="95" t="s">
        <v>28</v>
      </c>
      <c r="D42" s="95" t="s">
        <v>29</v>
      </c>
      <c r="E42" s="95" t="s">
        <v>30</v>
      </c>
      <c r="F42" s="96" t="s">
        <v>31</v>
      </c>
      <c r="H42" s="94" t="s">
        <v>26</v>
      </c>
      <c r="I42" s="95" t="s">
        <v>27</v>
      </c>
      <c r="J42" s="95" t="s">
        <v>28</v>
      </c>
      <c r="K42" s="95" t="s">
        <v>29</v>
      </c>
      <c r="L42" s="95" t="s">
        <v>30</v>
      </c>
      <c r="M42" s="96" t="s">
        <v>31</v>
      </c>
    </row>
    <row r="43" spans="1:13" ht="36.75" customHeight="1" x14ac:dyDescent="0.2">
      <c r="A43" s="97"/>
      <c r="B43" s="98"/>
      <c r="C43" s="98"/>
      <c r="D43" s="98"/>
      <c r="E43" s="98"/>
      <c r="F43" s="99"/>
      <c r="H43" s="97"/>
      <c r="I43" s="98"/>
      <c r="J43" s="98"/>
      <c r="K43" s="98"/>
      <c r="L43" s="98"/>
      <c r="M43" s="99"/>
    </row>
    <row r="44" spans="1:13" ht="36.75" customHeight="1" thickBot="1" x14ac:dyDescent="0.25">
      <c r="A44" s="169" t="s">
        <v>32</v>
      </c>
      <c r="B44" s="170"/>
      <c r="C44" s="170"/>
      <c r="D44" s="170" t="s">
        <v>33</v>
      </c>
      <c r="E44" s="170"/>
      <c r="F44" s="171"/>
      <c r="H44" s="169" t="s">
        <v>32</v>
      </c>
      <c r="I44" s="170"/>
      <c r="J44" s="170"/>
      <c r="K44" s="170" t="s">
        <v>33</v>
      </c>
      <c r="L44" s="170"/>
      <c r="M44" s="171"/>
    </row>
    <row r="45" spans="1:13" ht="14.25" thickTop="1" thickBot="1" x14ac:dyDescent="0.25"/>
    <row r="46" spans="1:13" ht="37.5" customHeight="1" thickTop="1" x14ac:dyDescent="0.2">
      <c r="A46" s="172" t="str">
        <f>úvod!$C$6</f>
        <v>Krajské přebory</v>
      </c>
      <c r="B46" s="173"/>
      <c r="C46" s="173"/>
      <c r="D46" s="173"/>
      <c r="E46" s="173"/>
      <c r="F46" s="174"/>
      <c r="H46" s="172" t="str">
        <f>úvod!$C$6</f>
        <v>Krajské přebory</v>
      </c>
      <c r="I46" s="173"/>
      <c r="J46" s="173"/>
      <c r="K46" s="173"/>
      <c r="L46" s="173"/>
      <c r="M46" s="174"/>
    </row>
    <row r="47" spans="1:13" ht="37.5" customHeight="1" x14ac:dyDescent="0.2">
      <c r="A47" s="175" t="str">
        <f>'Z-debl'!A12</f>
        <v>Čtyřhra U19M - 2.kolo</v>
      </c>
      <c r="B47" s="176"/>
      <c r="C47" s="176"/>
      <c r="D47" s="176" t="s">
        <v>34</v>
      </c>
      <c r="E47" s="176"/>
      <c r="F47" s="91"/>
      <c r="H47" s="175" t="str">
        <f>'Z-debl'!A13</f>
        <v>Čtyřhra U19M - 2.kolo</v>
      </c>
      <c r="I47" s="176"/>
      <c r="J47" s="176"/>
      <c r="K47" s="176" t="s">
        <v>34</v>
      </c>
      <c r="L47" s="176"/>
      <c r="M47" s="91"/>
    </row>
    <row r="48" spans="1:13" ht="17.25" customHeight="1" x14ac:dyDescent="0.2">
      <c r="A48" s="177" t="str">
        <f>CONCATENATE('Z-debl'!B12," ",'Z-debl'!C12," (",'Z-debl'!D12,")")</f>
        <v>0  ()</v>
      </c>
      <c r="B48" s="178"/>
      <c r="C48" s="179"/>
      <c r="D48" s="176" t="str">
        <f>CONCATENATE('Z-debl'!H12," ",'Z-debl'!I12," (",'Z-debl'!J12,")")</f>
        <v>0  ()</v>
      </c>
      <c r="E48" s="176"/>
      <c r="F48" s="180"/>
      <c r="H48" s="177" t="str">
        <f>CONCATENATE('Z-debl'!B13," ",'Z-debl'!C13," (",'Z-debl'!D13,")")</f>
        <v>0  ()</v>
      </c>
      <c r="I48" s="178"/>
      <c r="J48" s="179"/>
      <c r="K48" s="176" t="str">
        <f>CONCATENATE('Z-debl'!H13," ",'Z-debl'!I13," (",'Z-debl'!J13,")")</f>
        <v>0  ()</v>
      </c>
      <c r="L48" s="176"/>
      <c r="M48" s="180"/>
    </row>
    <row r="49" spans="1:13" ht="17.25" customHeight="1" x14ac:dyDescent="0.25">
      <c r="A49" s="181" t="str">
        <f>CONCATENATE('Z-debl'!E12," ",'Z-debl'!F12," (",'Z-debl'!G12,")")</f>
        <v>0  ()</v>
      </c>
      <c r="B49" s="182"/>
      <c r="C49" s="183"/>
      <c r="D49" s="184" t="str">
        <f>CONCATENATE('Z-debl'!K12," ",'Z-debl'!L12," (",'Z-debl'!M12,")")</f>
        <v>0  ()</v>
      </c>
      <c r="E49" s="184"/>
      <c r="F49" s="185"/>
      <c r="G49" s="92"/>
      <c r="H49" s="181" t="str">
        <f>CONCATENATE('Z-debl'!E13," ",'Z-debl'!F13," (",'Z-debl'!G13,")")</f>
        <v>0  ()</v>
      </c>
      <c r="I49" s="182"/>
      <c r="J49" s="183"/>
      <c r="K49" s="184" t="str">
        <f>CONCATENATE('Z-debl'!K13," ",'Z-debl'!L13," (",'Z-debl'!M13,")")</f>
        <v>0  ()</v>
      </c>
      <c r="L49" s="184"/>
      <c r="M49" s="185"/>
    </row>
    <row r="50" spans="1:13" ht="21" customHeight="1" x14ac:dyDescent="0.2">
      <c r="A50" s="166"/>
      <c r="B50" s="167"/>
      <c r="C50" s="167"/>
      <c r="D50" s="167"/>
      <c r="E50" s="167"/>
      <c r="F50" s="168"/>
      <c r="H50" s="166"/>
      <c r="I50" s="167"/>
      <c r="J50" s="167"/>
      <c r="K50" s="167"/>
      <c r="L50" s="167"/>
      <c r="M50" s="168"/>
    </row>
    <row r="51" spans="1:13" x14ac:dyDescent="0.2">
      <c r="A51" s="94" t="s">
        <v>26</v>
      </c>
      <c r="B51" s="95" t="s">
        <v>27</v>
      </c>
      <c r="C51" s="95" t="s">
        <v>28</v>
      </c>
      <c r="D51" s="95" t="s">
        <v>29</v>
      </c>
      <c r="E51" s="95" t="s">
        <v>30</v>
      </c>
      <c r="F51" s="96" t="s">
        <v>31</v>
      </c>
      <c r="H51" s="94" t="s">
        <v>26</v>
      </c>
      <c r="I51" s="95" t="s">
        <v>27</v>
      </c>
      <c r="J51" s="95" t="s">
        <v>28</v>
      </c>
      <c r="K51" s="95" t="s">
        <v>29</v>
      </c>
      <c r="L51" s="95" t="s">
        <v>30</v>
      </c>
      <c r="M51" s="96" t="s">
        <v>31</v>
      </c>
    </row>
    <row r="52" spans="1:13" ht="36.75" customHeight="1" x14ac:dyDescent="0.2">
      <c r="A52" s="97"/>
      <c r="B52" s="98"/>
      <c r="C52" s="98"/>
      <c r="D52" s="98"/>
      <c r="E52" s="98"/>
      <c r="F52" s="99"/>
      <c r="H52" s="97"/>
      <c r="I52" s="98"/>
      <c r="J52" s="98"/>
      <c r="K52" s="98"/>
      <c r="L52" s="98"/>
      <c r="M52" s="99"/>
    </row>
    <row r="53" spans="1:13" ht="36.75" customHeight="1" thickBot="1" x14ac:dyDescent="0.25">
      <c r="A53" s="169" t="s">
        <v>32</v>
      </c>
      <c r="B53" s="170"/>
      <c r="C53" s="170"/>
      <c r="D53" s="170" t="s">
        <v>33</v>
      </c>
      <c r="E53" s="170"/>
      <c r="F53" s="171"/>
      <c r="H53" s="169" t="s">
        <v>32</v>
      </c>
      <c r="I53" s="170"/>
      <c r="J53" s="170"/>
      <c r="K53" s="170" t="s">
        <v>33</v>
      </c>
      <c r="L53" s="170"/>
      <c r="M53" s="171"/>
    </row>
    <row r="54" spans="1:13" ht="13.5" thickTop="1" x14ac:dyDescent="0.2"/>
  </sheetData>
  <mergeCells count="120">
    <mergeCell ref="A3:C3"/>
    <mergeCell ref="D3:F3"/>
    <mergeCell ref="H3:J3"/>
    <mergeCell ref="K3:M3"/>
    <mergeCell ref="A4:C4"/>
    <mergeCell ref="D4:F4"/>
    <mergeCell ref="H4:J4"/>
    <mergeCell ref="K4:M4"/>
    <mergeCell ref="A1:F1"/>
    <mergeCell ref="H1:M1"/>
    <mergeCell ref="A2:C2"/>
    <mergeCell ref="D2:E2"/>
    <mergeCell ref="H2:J2"/>
    <mergeCell ref="K2:L2"/>
    <mergeCell ref="A10:F10"/>
    <mergeCell ref="H10:M10"/>
    <mergeCell ref="A11:C11"/>
    <mergeCell ref="D11:E11"/>
    <mergeCell ref="H11:J11"/>
    <mergeCell ref="K11:L11"/>
    <mergeCell ref="A5:F5"/>
    <mergeCell ref="H5:M5"/>
    <mergeCell ref="A8:C8"/>
    <mergeCell ref="D8:F8"/>
    <mergeCell ref="H8:J8"/>
    <mergeCell ref="K8:M8"/>
    <mergeCell ref="A14:F14"/>
    <mergeCell ref="H14:M14"/>
    <mergeCell ref="A17:C17"/>
    <mergeCell ref="D17:F17"/>
    <mergeCell ref="H17:J17"/>
    <mergeCell ref="K17:M17"/>
    <mergeCell ref="A12:C12"/>
    <mergeCell ref="D12:F12"/>
    <mergeCell ref="H12:J12"/>
    <mergeCell ref="K12:M12"/>
    <mergeCell ref="A13:C13"/>
    <mergeCell ref="D13:F13"/>
    <mergeCell ref="H13:J13"/>
    <mergeCell ref="K13:M13"/>
    <mergeCell ref="A21:C21"/>
    <mergeCell ref="D21:F21"/>
    <mergeCell ref="H21:J21"/>
    <mergeCell ref="K21:M21"/>
    <mergeCell ref="A22:C22"/>
    <mergeCell ref="D22:F22"/>
    <mergeCell ref="H22:J22"/>
    <mergeCell ref="K22:M22"/>
    <mergeCell ref="A19:F19"/>
    <mergeCell ref="H19:M19"/>
    <mergeCell ref="A20:C20"/>
    <mergeCell ref="D20:E20"/>
    <mergeCell ref="H20:J20"/>
    <mergeCell ref="K20:L20"/>
    <mergeCell ref="A28:F28"/>
    <mergeCell ref="H28:M28"/>
    <mergeCell ref="A29:C29"/>
    <mergeCell ref="D29:E29"/>
    <mergeCell ref="H29:J29"/>
    <mergeCell ref="K29:L29"/>
    <mergeCell ref="A23:F23"/>
    <mergeCell ref="H23:M23"/>
    <mergeCell ref="A26:C26"/>
    <mergeCell ref="D26:F26"/>
    <mergeCell ref="H26:J26"/>
    <mergeCell ref="K26:M26"/>
    <mergeCell ref="A32:F32"/>
    <mergeCell ref="H32:M32"/>
    <mergeCell ref="A35:C35"/>
    <mergeCell ref="D35:F35"/>
    <mergeCell ref="H35:J35"/>
    <mergeCell ref="K35:M35"/>
    <mergeCell ref="A30:C30"/>
    <mergeCell ref="D30:F30"/>
    <mergeCell ref="H30:J30"/>
    <mergeCell ref="K30:M30"/>
    <mergeCell ref="A31:C31"/>
    <mergeCell ref="D31:F31"/>
    <mergeCell ref="H31:J31"/>
    <mergeCell ref="K31:M31"/>
    <mergeCell ref="A39:C39"/>
    <mergeCell ref="D39:F39"/>
    <mergeCell ref="H39:J39"/>
    <mergeCell ref="K39:M39"/>
    <mergeCell ref="A40:C40"/>
    <mergeCell ref="D40:F40"/>
    <mergeCell ref="H40:J40"/>
    <mergeCell ref="K40:M40"/>
    <mergeCell ref="A37:F37"/>
    <mergeCell ref="H37:M37"/>
    <mergeCell ref="A38:C38"/>
    <mergeCell ref="D38:E38"/>
    <mergeCell ref="H38:J38"/>
    <mergeCell ref="K38:L38"/>
    <mergeCell ref="A46:F46"/>
    <mergeCell ref="H46:M46"/>
    <mergeCell ref="A47:C47"/>
    <mergeCell ref="D47:E47"/>
    <mergeCell ref="H47:J47"/>
    <mergeCell ref="K47:L47"/>
    <mergeCell ref="A41:F41"/>
    <mergeCell ref="H41:M41"/>
    <mergeCell ref="A44:C44"/>
    <mergeCell ref="D44:F44"/>
    <mergeCell ref="H44:J44"/>
    <mergeCell ref="K44:M44"/>
    <mergeCell ref="A50:F50"/>
    <mergeCell ref="H50:M50"/>
    <mergeCell ref="A53:C53"/>
    <mergeCell ref="D53:F53"/>
    <mergeCell ref="H53:J53"/>
    <mergeCell ref="K53:M53"/>
    <mergeCell ref="A48:C48"/>
    <mergeCell ref="D48:F48"/>
    <mergeCell ref="H48:J48"/>
    <mergeCell ref="K48:M48"/>
    <mergeCell ref="A49:C49"/>
    <mergeCell ref="D49:F49"/>
    <mergeCell ref="H49:J49"/>
    <mergeCell ref="K49:M49"/>
  </mergeCells>
  <printOptions horizontalCentered="1" verticalCentered="1"/>
  <pageMargins left="0.39370078740157483" right="0.59055118110236227" top="0.39370078740157483" bottom="0.39370078740157483" header="0.51181102362204722" footer="0.51181102362204722"/>
  <pageSetup paperSize="9" scale="75" orientation="landscape" horizontalDpi="300" verticalDpi="300" r:id="rId1"/>
  <headerFooter alignWithMargins="0"/>
  <rowBreaks count="1" manualBreakCount="1">
    <brk id="2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6"/>
  <sheetViews>
    <sheetView workbookViewId="0">
      <selection activeCell="D4" sqref="D4"/>
    </sheetView>
  </sheetViews>
  <sheetFormatPr defaultRowHeight="11.25" x14ac:dyDescent="0.2"/>
  <cols>
    <col min="1" max="1" width="4.140625" style="75" customWidth="1"/>
    <col min="2" max="3" width="4" style="75" customWidth="1"/>
    <col min="4" max="4" width="14.5703125" style="75" customWidth="1"/>
    <col min="5" max="5" width="14.28515625" style="75" customWidth="1"/>
    <col min="6" max="6" width="18.140625" style="75" customWidth="1"/>
    <col min="7" max="7" width="13.140625" style="75" customWidth="1"/>
    <col min="8" max="8" width="8.140625" style="75" customWidth="1"/>
    <col min="9" max="16384" width="9.140625" style="75"/>
  </cols>
  <sheetData>
    <row r="1" spans="1:9" x14ac:dyDescent="0.2">
      <c r="A1" s="75">
        <v>1</v>
      </c>
      <c r="B1" s="77">
        <v>4</v>
      </c>
      <c r="C1" s="77">
        <v>41</v>
      </c>
      <c r="D1" s="75" t="str">
        <f>IF($B1="","",VLOOKUP($B1,sez!$A$2:$B$259,2,"nepravda"))</f>
        <v>Luska Petr</v>
      </c>
      <c r="E1" s="75" t="str">
        <f>IF($B1="","",VLOOKUP($B1,sez!$A$2:$D$259,4,"nepravda"))</f>
        <v>KST Vyškov</v>
      </c>
      <c r="F1" s="75" t="str">
        <f>IF($C1="","",VLOOKUP($C1,sez!$A$2:$B$259,2,"nepravda"))</f>
        <v>Sobotíková Monika</v>
      </c>
      <c r="G1" s="75" t="str">
        <f>IF($C1="","",VLOOKUP($C1,sez!$A$2:$D$259,4,"nepravda"))</f>
        <v>MS Brno</v>
      </c>
      <c r="H1" s="75">
        <f>IF(C1="","",VLOOKUP($B1,sez!$A$2:$E$259,5,"nepravda")+VLOOKUP($C1,sez!$A$2:$E$259,5))</f>
        <v>12</v>
      </c>
      <c r="I1" s="165" t="s">
        <v>36</v>
      </c>
    </row>
    <row r="2" spans="1:9" x14ac:dyDescent="0.2">
      <c r="A2" s="75">
        <v>2</v>
      </c>
      <c r="B2" s="77">
        <v>3</v>
      </c>
      <c r="C2" s="77">
        <v>45</v>
      </c>
      <c r="D2" s="75" t="str">
        <f>IF($B2="","",VLOOKUP($B2,sez!$A$2:$B$259,2,"nepravda"))</f>
        <v>Krištof Lukáš</v>
      </c>
      <c r="E2" s="75" t="str">
        <f>IF($B2="","",VLOOKUP($B2,sez!$A$2:$D$259,4,"nepravda"))</f>
        <v>Tišnov</v>
      </c>
      <c r="F2" s="75" t="str">
        <f>IF($C2="","",VLOOKUP($C2,sez!$A$2:$B$259,2,"nepravda"))</f>
        <v>Dreits Anastasiia</v>
      </c>
      <c r="G2" s="75" t="str">
        <f>IF($C2="","",VLOOKUP($C2,sez!$A$2:$D$259,4,"nepravda"))</f>
        <v>Tišnov</v>
      </c>
      <c r="H2" s="75">
        <f>IF(C2="","",VLOOKUP($B2,sez!$A$2:$E$259,5,"nepravda")+VLOOKUP($C2,sez!$A$2:$E$259,5))</f>
        <v>15</v>
      </c>
      <c r="I2" s="164"/>
    </row>
    <row r="3" spans="1:9" x14ac:dyDescent="0.2">
      <c r="A3" s="75">
        <v>3</v>
      </c>
      <c r="B3" s="77">
        <v>5</v>
      </c>
      <c r="C3" s="77">
        <v>42</v>
      </c>
      <c r="D3" s="75" t="str">
        <f>IF($B3="","",VLOOKUP($B3,sez!$A$2:$B$259,2,"nepravda"))</f>
        <v>Drápal Metoděj</v>
      </c>
      <c r="E3" s="75" t="str">
        <f>IF($B3="","",VLOOKUP($B3,sez!$A$2:$D$259,4,"nepravda"))</f>
        <v>MS Brno</v>
      </c>
      <c r="F3" s="75" t="str">
        <f>IF($C3="","",VLOOKUP($C3,sez!$A$2:$B$259,2,"nepravda"))</f>
        <v>Novohradská Karolína</v>
      </c>
      <c r="G3" s="75" t="str">
        <f>IF($C3="","",VLOOKUP($C3,sez!$A$2:$D$259,4,"nepravda"))</f>
        <v>KST Blansko</v>
      </c>
      <c r="H3" s="75">
        <f>IF(C3="","",VLOOKUP($B3,sez!$A$2:$E$259,5,"nepravda")+VLOOKUP($C3,sez!$A$2:$E$259,5))</f>
        <v>15</v>
      </c>
      <c r="I3" s="164"/>
    </row>
    <row r="4" spans="1:9" x14ac:dyDescent="0.2">
      <c r="A4" s="75">
        <v>4</v>
      </c>
      <c r="B4" s="77">
        <v>6</v>
      </c>
      <c r="C4" s="77">
        <v>43</v>
      </c>
      <c r="D4" s="75" t="str">
        <f>IF($B4="","",VLOOKUP($B4,sez!$A$2:$B$259,2,"nepravda"))</f>
        <v>Pařízek Richard</v>
      </c>
      <c r="E4" s="75" t="str">
        <f>IF($B4="","",VLOOKUP($B4,sez!$A$2:$D$259,4,"nepravda"))</f>
        <v>SKST Hodonín</v>
      </c>
      <c r="F4" s="75" t="str">
        <f>IF($C4="","",VLOOKUP($C4,sez!$A$2:$B$259,2,"nepravda"))</f>
        <v>Holubová Simona</v>
      </c>
      <c r="G4" s="75" t="str">
        <f>IF($C4="","",VLOOKUP($C4,sez!$A$2:$D$259,4,"nepravda"))</f>
        <v>SKST Hodonín</v>
      </c>
      <c r="H4" s="75">
        <f>IF(C4="","",VLOOKUP($B4,sez!$A$2:$E$259,5,"nepravda")+VLOOKUP($C4,sez!$A$2:$E$259,5))</f>
        <v>17</v>
      </c>
      <c r="I4" s="164"/>
    </row>
    <row r="5" spans="1:9" x14ac:dyDescent="0.2">
      <c r="A5" s="75">
        <v>5</v>
      </c>
      <c r="B5" s="77">
        <v>9</v>
      </c>
      <c r="C5" s="77">
        <v>47</v>
      </c>
      <c r="D5" s="75" t="str">
        <f>IF($B5="","",VLOOKUP($B5,sez!$A$2:$B$259,2,"nepravda"))</f>
        <v>Štěpánek Ondřej</v>
      </c>
      <c r="E5" s="75" t="str">
        <f>IF($B5="","",VLOOKUP($B5,sez!$A$2:$D$259,4,"nepravda"))</f>
        <v>KST Blansko</v>
      </c>
      <c r="F5" s="75" t="str">
        <f>IF($C5="","",VLOOKUP($C5,sez!$A$2:$B$259,2,"nepravda"))</f>
        <v>Mazalová Kristýna</v>
      </c>
      <c r="G5" s="75" t="str">
        <f>IF($C5="","",VLOOKUP($C5,sez!$A$2:$D$259,4,"nepravda"))</f>
        <v>KST Blansko</v>
      </c>
      <c r="H5" s="75">
        <f>IF(C5="","",VLOOKUP($B5,sez!$A$2:$E$259,5,"nepravda")+VLOOKUP($C5,sez!$A$2:$E$259,5))</f>
        <v>24</v>
      </c>
      <c r="I5" s="164"/>
    </row>
    <row r="6" spans="1:9" x14ac:dyDescent="0.2">
      <c r="A6" s="75">
        <v>6</v>
      </c>
      <c r="B6" s="77">
        <v>10</v>
      </c>
      <c r="C6" s="77">
        <v>48</v>
      </c>
      <c r="D6" s="75" t="str">
        <f>IF($B6="","",VLOOKUP($B6,sez!$A$2:$B$259,2,"nepravda"))</f>
        <v>Vincenec Oliver</v>
      </c>
      <c r="E6" s="75" t="str">
        <f>IF($B6="","",VLOOKUP($B6,sez!$A$2:$D$259,4,"nepravda"))</f>
        <v>KST Vyškov</v>
      </c>
      <c r="F6" s="75" t="str">
        <f>IF($C6="","",VLOOKUP($C6,sez!$A$2:$B$259,2,"nepravda"))</f>
        <v>Kotásková Kristýna</v>
      </c>
      <c r="G6" s="75" t="str">
        <f>IF($C6="","",VLOOKUP($C6,sez!$A$2:$D$259,4,"nepravda"))</f>
        <v>TJ Mikulčice</v>
      </c>
      <c r="H6" s="75">
        <f>IF(C6="","",VLOOKUP($B6,sez!$A$2:$E$259,5,"nepravda")+VLOOKUP($C6,sez!$A$2:$E$259,5))</f>
        <v>28</v>
      </c>
      <c r="I6" s="164"/>
    </row>
    <row r="7" spans="1:9" x14ac:dyDescent="0.2">
      <c r="A7" s="75">
        <v>7</v>
      </c>
      <c r="B7" s="77">
        <v>23</v>
      </c>
      <c r="C7" s="77">
        <v>49</v>
      </c>
      <c r="D7" s="75" t="str">
        <f>IF($B7="","",VLOOKUP($B7,sez!$A$2:$B$259,2,"nepravda"))</f>
        <v>Pluháček Adam</v>
      </c>
      <c r="E7" s="75" t="str">
        <f>IF($B7="","",VLOOKUP($B7,sez!$A$2:$D$259,4,"nepravda"))</f>
        <v>Sokol Brno I</v>
      </c>
      <c r="F7" s="75" t="str">
        <f>IF($C7="","",VLOOKUP($C7,sez!$A$2:$B$259,2,"nepravda"))</f>
        <v>Pilitowská Lea</v>
      </c>
      <c r="G7" s="75" t="str">
        <f>IF($C7="","",VLOOKUP($C7,sez!$A$2:$D$259,4,"nepravda"))</f>
        <v>KST Blansko</v>
      </c>
      <c r="H7" s="75">
        <f>IF(C7="","",VLOOKUP($B7,sez!$A$2:$E$259,5,"nepravda")+VLOOKUP($C7,sez!$A$2:$E$259,5))</f>
        <v>1014</v>
      </c>
      <c r="I7" s="164"/>
    </row>
    <row r="8" spans="1:9" x14ac:dyDescent="0.2">
      <c r="A8" s="75">
        <v>8</v>
      </c>
      <c r="B8" s="77">
        <v>11</v>
      </c>
      <c r="C8" s="77">
        <v>44</v>
      </c>
      <c r="D8" s="75" t="str">
        <f>IF($B8="","",VLOOKUP($B8,sez!$A$2:$B$259,2,"nepravda"))</f>
        <v>Krejčí David</v>
      </c>
      <c r="E8" s="75" t="str">
        <f>IF($B8="","",VLOOKUP($B8,sez!$A$2:$D$259,4,"nepravda"))</f>
        <v>MS Brno</v>
      </c>
      <c r="F8" s="75" t="str">
        <f>IF($C8="","",VLOOKUP($C8,sez!$A$2:$B$259,2,"nepravda"))</f>
        <v>Novotná Eliška</v>
      </c>
      <c r="G8" s="75" t="str">
        <f>IF($C8="","",VLOOKUP($C8,sez!$A$2:$D$259,4,"nepravda"))</f>
        <v>SKST Hodonín</v>
      </c>
      <c r="H8" s="75">
        <f>IF(C8="","",VLOOKUP($B8,sez!$A$2:$E$259,5,"nepravda")+VLOOKUP($C8,sez!$A$2:$E$259,5))</f>
        <v>26</v>
      </c>
      <c r="I8" s="164"/>
    </row>
    <row r="9" spans="1:9" x14ac:dyDescent="0.2">
      <c r="A9" s="75">
        <v>9</v>
      </c>
      <c r="B9" s="77">
        <v>8</v>
      </c>
      <c r="C9" s="77">
        <v>52</v>
      </c>
      <c r="D9" s="75" t="str">
        <f>IF($B9="","",VLOOKUP($B9,sez!$A$2:$B$259,2,"nepravda"))</f>
        <v>Pokorný Martin</v>
      </c>
      <c r="E9" s="75" t="str">
        <f>IF($B9="","",VLOOKUP($B9,sez!$A$2:$D$259,4,"nepravda"))</f>
        <v>KST Blansko</v>
      </c>
      <c r="F9" s="75" t="str">
        <f>IF($C9="","",VLOOKUP($C9,sez!$A$2:$B$259,2,"nepravda"))</f>
        <v>Habáňová Michaela</v>
      </c>
      <c r="G9" s="75" t="str">
        <f>IF($C9="","",VLOOKUP($C9,sez!$A$2:$D$259,4,"nepravda"))</f>
        <v>KST Blansko</v>
      </c>
      <c r="H9" s="75">
        <f>IF(C9="","",VLOOKUP($B9,sez!$A$2:$E$259,5,"nepravda")+VLOOKUP($C9,sez!$A$2:$E$259,5))</f>
        <v>29</v>
      </c>
      <c r="I9" s="164"/>
    </row>
    <row r="10" spans="1:9" x14ac:dyDescent="0.2">
      <c r="A10" s="75">
        <v>10</v>
      </c>
      <c r="B10" s="77">
        <v>16</v>
      </c>
      <c r="C10" s="77">
        <v>51</v>
      </c>
      <c r="D10" s="75" t="str">
        <f>IF($B10="","",VLOOKUP($B10,sez!$A$2:$B$259,2,"nepravda"))</f>
        <v>Šimeček Robin</v>
      </c>
      <c r="E10" s="75" t="str">
        <f>IF($B10="","",VLOOKUP($B10,sez!$A$2:$D$259,4,"nepravda"))</f>
        <v>TJ Holásky</v>
      </c>
      <c r="F10" s="75" t="str">
        <f>IF($C10="","",VLOOKUP($C10,sez!$A$2:$B$259,2,"nepravda"))</f>
        <v>Bedřichová Ema</v>
      </c>
      <c r="G10" s="75" t="str">
        <f>IF($C10="","",VLOOKUP($C10,sez!$A$2:$D$259,4,"nepravda"))</f>
        <v>Klobouky u Brna</v>
      </c>
      <c r="H10" s="75">
        <f>IF(C10="","",VLOOKUP($B10,sez!$A$2:$E$259,5,"nepravda")+VLOOKUP($C10,sez!$A$2:$E$259,5))</f>
        <v>42</v>
      </c>
      <c r="I10" s="164"/>
    </row>
    <row r="11" spans="1:9" x14ac:dyDescent="0.2">
      <c r="A11" s="75">
        <v>11</v>
      </c>
      <c r="B11" s="77"/>
      <c r="C11" s="77"/>
      <c r="D11" s="75" t="str">
        <f>IF($B11="","",VLOOKUP($B11,sez!$A$2:$B$259,2,"nepravda"))</f>
        <v/>
      </c>
      <c r="E11" s="75" t="str">
        <f>IF($B11="","",VLOOKUP($B11,sez!$A$2:$D$259,4,"nepravda"))</f>
        <v/>
      </c>
      <c r="F11" s="75" t="str">
        <f>IF($C11="","",VLOOKUP($C11,sez!$A$2:$B$259,2,"nepravda"))</f>
        <v/>
      </c>
      <c r="G11" s="75" t="str">
        <f>IF($C11="","",VLOOKUP($C11,sez!$A$2:$D$259,4,"nepravda"))</f>
        <v/>
      </c>
      <c r="H11" s="75" t="str">
        <f>IF(C11="","",VLOOKUP($B11,sez!$A$2:$E$259,5,"nepravda")+VLOOKUP($C11,sez!$A$2:$E$259,5))</f>
        <v/>
      </c>
      <c r="I11" s="164"/>
    </row>
    <row r="12" spans="1:9" x14ac:dyDescent="0.2">
      <c r="A12" s="75">
        <v>12</v>
      </c>
      <c r="B12" s="77"/>
      <c r="C12" s="77"/>
      <c r="D12" s="75" t="str">
        <f>IF($B12="","",VLOOKUP($B12,sez!$A$2:$B$259,2,"nepravda"))</f>
        <v/>
      </c>
      <c r="E12" s="75" t="str">
        <f>IF($B12="","",VLOOKUP($B12,sez!$A$2:$D$259,4,"nepravda"))</f>
        <v/>
      </c>
      <c r="F12" s="75" t="str">
        <f>IF($C12="","",VLOOKUP($C12,sez!$A$2:$B$259,2,"nepravda"))</f>
        <v/>
      </c>
      <c r="G12" s="75" t="str">
        <f>IF($C12="","",VLOOKUP($C12,sez!$A$2:$D$259,4,"nepravda"))</f>
        <v/>
      </c>
      <c r="H12" s="75" t="str">
        <f>IF(C12="","",VLOOKUP($B12,sez!$A$2:$E$259,5,"nepravda")+VLOOKUP($C12,sez!$A$2:$E$259,5))</f>
        <v/>
      </c>
      <c r="I12" s="164"/>
    </row>
    <row r="13" spans="1:9" x14ac:dyDescent="0.2">
      <c r="A13" s="75">
        <v>13</v>
      </c>
      <c r="B13" s="77"/>
      <c r="C13" s="77"/>
      <c r="D13" s="75" t="str">
        <f>IF($B13="","",VLOOKUP($B13,sez!$A$2:$B$259,2,"nepravda"))</f>
        <v/>
      </c>
      <c r="E13" s="75" t="str">
        <f>IF($B13="","",VLOOKUP($B13,sez!$A$2:$D$259,4,"nepravda"))</f>
        <v/>
      </c>
      <c r="F13" s="75" t="str">
        <f>IF($C13="","",VLOOKUP($C13,sez!$A$2:$B$259,2,"nepravda"))</f>
        <v/>
      </c>
      <c r="G13" s="75" t="str">
        <f>IF($C13="","",VLOOKUP($C13,sez!$A$2:$D$259,4,"nepravda"))</f>
        <v/>
      </c>
      <c r="H13" s="75" t="str">
        <f>IF(C13="","",VLOOKUP($B13,sez!$A$2:$E$259,5,"nepravda")+VLOOKUP($C13,sez!$A$2:$E$259,5))</f>
        <v/>
      </c>
      <c r="I13" s="164"/>
    </row>
    <row r="14" spans="1:9" x14ac:dyDescent="0.2">
      <c r="A14" s="75">
        <v>14</v>
      </c>
      <c r="B14" s="77"/>
      <c r="C14" s="77"/>
      <c r="D14" s="75" t="str">
        <f>IF($B14="","",VLOOKUP($B14,sez!$A$2:$B$259,2,"nepravda"))</f>
        <v/>
      </c>
      <c r="E14" s="75" t="str">
        <f>IF($B14="","",VLOOKUP($B14,sez!$A$2:$D$259,4,"nepravda"))</f>
        <v/>
      </c>
      <c r="F14" s="75" t="str">
        <f>IF($C14="","",VLOOKUP($C14,sez!$A$2:$B$259,2,"nepravda"))</f>
        <v/>
      </c>
      <c r="G14" s="75" t="str">
        <f>IF($C14="","",VLOOKUP($C14,sez!$A$2:$D$259,4,"nepravda"))</f>
        <v/>
      </c>
      <c r="H14" s="75" t="str">
        <f>IF(C14="","",VLOOKUP($B14,sez!$A$2:$E$259,5,"nepravda")+VLOOKUP($C14,sez!$A$2:$E$259,5))</f>
        <v/>
      </c>
      <c r="I14" s="164"/>
    </row>
    <row r="15" spans="1:9" x14ac:dyDescent="0.2">
      <c r="A15" s="75">
        <v>15</v>
      </c>
      <c r="B15" s="77"/>
      <c r="C15" s="77"/>
      <c r="D15" s="75" t="str">
        <f>IF($B15="","",VLOOKUP($B15,sez!$A$2:$B$259,2,"nepravda"))</f>
        <v/>
      </c>
      <c r="E15" s="75" t="str">
        <f>IF($B15="","",VLOOKUP($B15,sez!$A$2:$D$259,4,"nepravda"))</f>
        <v/>
      </c>
      <c r="F15" s="75" t="str">
        <f>IF($C15="","",VLOOKUP($C15,sez!$A$2:$B$259,2,"nepravda"))</f>
        <v/>
      </c>
      <c r="G15" s="75" t="str">
        <f>IF($C15="","",VLOOKUP($C15,sez!$A$2:$D$259,4,"nepravda"))</f>
        <v/>
      </c>
      <c r="H15" s="75" t="str">
        <f>IF(C15="","",VLOOKUP($B15,sez!$A$2:$E$259,5,"nepravda")+VLOOKUP($C15,sez!$A$2:$E$259,5))</f>
        <v/>
      </c>
      <c r="I15" s="164"/>
    </row>
    <row r="16" spans="1:9" x14ac:dyDescent="0.2">
      <c r="A16" s="75">
        <v>16</v>
      </c>
      <c r="B16" s="77"/>
      <c r="C16" s="77"/>
      <c r="D16" s="75" t="str">
        <f>IF($B16="","",VLOOKUP($B16,sez!$A$2:$B$259,2,"nepravda"))</f>
        <v/>
      </c>
      <c r="E16" s="75" t="str">
        <f>IF($B16="","",VLOOKUP($B16,sez!$A$2:$D$259,4,"nepravda"))</f>
        <v/>
      </c>
      <c r="F16" s="75" t="str">
        <f>IF($C16="","",VLOOKUP($C16,sez!$A$2:$B$259,2,"nepravda"))</f>
        <v/>
      </c>
      <c r="G16" s="75" t="str">
        <f>IF($C16="","",VLOOKUP($C16,sez!$A$2:$D$259,4,"nepravda"))</f>
        <v/>
      </c>
      <c r="H16" s="75" t="str">
        <f>IF(C16="","",VLOOKUP($B16,sez!$A$2:$E$259,5,"nepravda")+VLOOKUP($C16,sez!$A$2:$E$259,5))</f>
        <v/>
      </c>
      <c r="I16" s="164"/>
    </row>
    <row r="17" spans="1:9" x14ac:dyDescent="0.2">
      <c r="A17" s="75">
        <v>17</v>
      </c>
      <c r="B17" s="125"/>
      <c r="C17" s="125"/>
      <c r="D17" s="126"/>
      <c r="E17" s="126"/>
      <c r="F17" s="126"/>
      <c r="G17" s="126"/>
      <c r="H17" s="126"/>
    </row>
    <row r="18" spans="1:9" x14ac:dyDescent="0.2">
      <c r="A18" s="75">
        <v>18</v>
      </c>
      <c r="B18" s="125"/>
      <c r="C18" s="125"/>
      <c r="D18" s="126"/>
      <c r="E18" s="126"/>
      <c r="F18" s="126"/>
      <c r="G18" s="126"/>
      <c r="H18" s="126"/>
    </row>
    <row r="19" spans="1:9" x14ac:dyDescent="0.2">
      <c r="A19" s="75">
        <v>19</v>
      </c>
      <c r="B19" s="125"/>
      <c r="C19" s="125"/>
      <c r="D19" s="126"/>
      <c r="E19" s="126"/>
      <c r="F19" s="126"/>
      <c r="G19" s="126"/>
      <c r="H19" s="126"/>
    </row>
    <row r="20" spans="1:9" x14ac:dyDescent="0.2">
      <c r="A20" s="75">
        <v>20</v>
      </c>
      <c r="B20" s="125"/>
      <c r="C20" s="125"/>
      <c r="D20" s="126"/>
      <c r="E20" s="126"/>
      <c r="F20" s="126"/>
      <c r="G20" s="126"/>
      <c r="H20" s="126"/>
    </row>
    <row r="21" spans="1:9" x14ac:dyDescent="0.2">
      <c r="A21" s="75">
        <v>21</v>
      </c>
      <c r="B21" s="77">
        <v>44</v>
      </c>
      <c r="C21" s="77">
        <v>43</v>
      </c>
      <c r="D21" s="75" t="str">
        <f>IF($B21="","",VLOOKUP($B21,sez!$A$2:$B$259,2,"nepravda"))</f>
        <v>Novotná Eliška</v>
      </c>
      <c r="E21" s="75" t="str">
        <f>IF($B21="","",VLOOKUP($B21,sez!$A$2:$D$259,4,"nepravda"))</f>
        <v>SKST Hodonín</v>
      </c>
      <c r="F21" s="75" t="str">
        <f>IF($C21="","",VLOOKUP($C21,sez!$A$2:$B$259,2,"nepravda"))</f>
        <v>Holubová Simona</v>
      </c>
      <c r="G21" s="75" t="str">
        <f>IF($C21="","",VLOOKUP($C21,sez!$A$2:$D$259,4,"nepravda"))</f>
        <v>SKST Hodonín</v>
      </c>
      <c r="H21" s="75">
        <f>IF(C21="","",VLOOKUP($B21,sez!$A$2:$E$259,5,"nepravda")+VLOOKUP($C21,sez!$A$2:$E$259,5))</f>
        <v>13</v>
      </c>
      <c r="I21" s="165" t="s">
        <v>37</v>
      </c>
    </row>
    <row r="22" spans="1:9" x14ac:dyDescent="0.2">
      <c r="A22" s="75">
        <v>22</v>
      </c>
      <c r="B22" s="77">
        <v>42</v>
      </c>
      <c r="C22" s="77">
        <v>46</v>
      </c>
      <c r="D22" s="75" t="str">
        <f>IF($B22="","",VLOOKUP($B22,sez!$A$2:$B$259,2,"nepravda"))</f>
        <v>Novohradská Karolína</v>
      </c>
      <c r="E22" s="75" t="str">
        <f>IF($B22="","",VLOOKUP($B22,sez!$A$2:$D$259,4,"nepravda"))</f>
        <v>KST Blansko</v>
      </c>
      <c r="F22" s="75" t="str">
        <f>IF($C22="","",VLOOKUP($C22,sez!$A$2:$B$259,2,"nepravda"))</f>
        <v>Masopustová Lucie</v>
      </c>
      <c r="G22" s="75" t="str">
        <f>IF($C22="","",VLOOKUP($C22,sez!$A$2:$D$259,4,"nepravda"))</f>
        <v>MSK Břeclav</v>
      </c>
      <c r="H22" s="75">
        <f>IF(C22="","",VLOOKUP($B22,sez!$A$2:$E$259,5,"nepravda")+VLOOKUP($C22,sez!$A$2:$E$259,5))</f>
        <v>15</v>
      </c>
      <c r="I22" s="164"/>
    </row>
    <row r="23" spans="1:9" x14ac:dyDescent="0.2">
      <c r="A23" s="75">
        <v>23</v>
      </c>
      <c r="B23" s="77">
        <v>41</v>
      </c>
      <c r="C23" s="77">
        <v>47</v>
      </c>
      <c r="D23" s="75" t="str">
        <f>IF($B23="","",VLOOKUP($B23,sez!$A$2:$B$259,2,"nepravda"))</f>
        <v>Sobotíková Monika</v>
      </c>
      <c r="E23" s="75" t="str">
        <f>IF($B23="","",VLOOKUP($B23,sez!$A$2:$D$259,4,"nepravda"))</f>
        <v>MS Brno</v>
      </c>
      <c r="F23" s="75" t="str">
        <f>IF($C23="","",VLOOKUP($C23,sez!$A$2:$B$259,2,"nepravda"))</f>
        <v>Mazalová Kristýna</v>
      </c>
      <c r="G23" s="75" t="str">
        <f>IF($C23="","",VLOOKUP($C23,sez!$A$2:$D$259,4,"nepravda"))</f>
        <v>KST Blansko</v>
      </c>
      <c r="H23" s="75">
        <f>IF(C23="","",VLOOKUP($B23,sez!$A$2:$E$259,5,"nepravda")+VLOOKUP($C23,sez!$A$2:$E$259,5))</f>
        <v>15</v>
      </c>
      <c r="I23" s="164"/>
    </row>
    <row r="24" spans="1:9" x14ac:dyDescent="0.2">
      <c r="A24" s="75">
        <v>24</v>
      </c>
      <c r="B24" s="77">
        <v>45</v>
      </c>
      <c r="C24" s="77">
        <v>48</v>
      </c>
      <c r="D24" s="75" t="str">
        <f>IF($B24="","",VLOOKUP($B24,sez!$A$2:$B$259,2,"nepravda"))</f>
        <v>Dreits Anastasiia</v>
      </c>
      <c r="E24" s="75" t="str">
        <f>IF($B24="","",VLOOKUP($B24,sez!$A$2:$D$259,4,"nepravda"))</f>
        <v>Tišnov</v>
      </c>
      <c r="F24" s="75" t="str">
        <f>IF($C24="","",VLOOKUP($C24,sez!$A$2:$B$259,2,"nepravda"))</f>
        <v>Kotásková Kristýna</v>
      </c>
      <c r="G24" s="75" t="str">
        <f>IF($C24="","",VLOOKUP($C24,sez!$A$2:$D$259,4,"nepravda"))</f>
        <v>TJ Mikulčice</v>
      </c>
      <c r="H24" s="75">
        <f>IF(C24="","",VLOOKUP($B24,sez!$A$2:$E$259,5,"nepravda")+VLOOKUP($C24,sez!$A$2:$E$259,5))</f>
        <v>20</v>
      </c>
      <c r="I24" s="164"/>
    </row>
    <row r="25" spans="1:9" x14ac:dyDescent="0.2">
      <c r="A25" s="75">
        <v>25</v>
      </c>
      <c r="B25" s="77">
        <v>49</v>
      </c>
      <c r="C25" s="77">
        <v>52</v>
      </c>
      <c r="D25" s="75" t="str">
        <f>IF($B25="","",VLOOKUP($B25,sez!$A$2:$B$259,2,"nepravda"))</f>
        <v>Pilitowská Lea</v>
      </c>
      <c r="E25" s="75" t="str">
        <f>IF($B25="","",VLOOKUP($B25,sez!$A$2:$D$259,4,"nepravda"))</f>
        <v>KST Blansko</v>
      </c>
      <c r="F25" s="75" t="str">
        <f>IF($C25="","",VLOOKUP($C25,sez!$A$2:$B$259,2,"nepravda"))</f>
        <v>Habáňová Michaela</v>
      </c>
      <c r="G25" s="75" t="str">
        <f>IF($C25="","",VLOOKUP($C25,sez!$A$2:$D$259,4,"nepravda"))</f>
        <v>KST Blansko</v>
      </c>
      <c r="H25" s="75">
        <f>IF(C25="","",VLOOKUP($B25,sez!$A$2:$E$259,5,"nepravda")+VLOOKUP($C25,sez!$A$2:$E$259,5))</f>
        <v>29</v>
      </c>
      <c r="I25" s="164"/>
    </row>
    <row r="26" spans="1:9" x14ac:dyDescent="0.2">
      <c r="A26" s="75">
        <v>26</v>
      </c>
      <c r="B26" s="77"/>
      <c r="C26" s="77"/>
      <c r="D26" s="75" t="str">
        <f>IF($B26="","",VLOOKUP($B26,sez!$A$2:$B$259,2,"nepravda"))</f>
        <v/>
      </c>
      <c r="E26" s="75" t="str">
        <f>IF($B26="","",VLOOKUP($B26,sez!$A$2:$D$259,4,"nepravda"))</f>
        <v/>
      </c>
      <c r="F26" s="75" t="str">
        <f>IF($C26="","",VLOOKUP($C26,sez!$A$2:$B$259,2,"nepravda"))</f>
        <v/>
      </c>
      <c r="G26" s="75" t="str">
        <f>IF($C26="","",VLOOKUP($C26,sez!$A$2:$D$259,4,"nepravda"))</f>
        <v/>
      </c>
      <c r="H26" s="75" t="str">
        <f>IF(C26="","",VLOOKUP($B26,sez!$A$2:$E$259,5,"nepravda")+VLOOKUP($C26,sez!$A$2:$E$259,5))</f>
        <v/>
      </c>
      <c r="I26" s="164"/>
    </row>
    <row r="27" spans="1:9" x14ac:dyDescent="0.2">
      <c r="A27" s="75">
        <v>27</v>
      </c>
      <c r="B27" s="77"/>
      <c r="C27" s="77"/>
      <c r="D27" s="75" t="str">
        <f>IF($B27="","",VLOOKUP($B27,sez!$A$2:$B$259,2,"nepravda"))</f>
        <v/>
      </c>
      <c r="E27" s="75" t="str">
        <f>IF($B27="","",VLOOKUP($B27,sez!$A$2:$D$259,4,"nepravda"))</f>
        <v/>
      </c>
      <c r="F27" s="75" t="str">
        <f>IF($C27="","",VLOOKUP($C27,sez!$A$2:$B$259,2,"nepravda"))</f>
        <v/>
      </c>
      <c r="G27" s="75" t="str">
        <f>IF($C27="","",VLOOKUP($C27,sez!$A$2:$D$259,4,"nepravda"))</f>
        <v/>
      </c>
      <c r="H27" s="75" t="str">
        <f>IF(C27="","",VLOOKUP($B27,sez!$A$2:$E$259,5,"nepravda")+VLOOKUP($C27,sez!$A$2:$E$259,5))</f>
        <v/>
      </c>
      <c r="I27" s="164"/>
    </row>
    <row r="28" spans="1:9" x14ac:dyDescent="0.2">
      <c r="A28" s="75">
        <v>28</v>
      </c>
      <c r="B28" s="77"/>
      <c r="C28" s="77"/>
      <c r="D28" s="75" t="str">
        <f>IF($B28="","",VLOOKUP($B28,sez!$A$2:$B$259,2,"nepravda"))</f>
        <v/>
      </c>
      <c r="E28" s="75" t="str">
        <f>IF($B28="","",VLOOKUP($B28,sez!$A$2:$D$259,4,"nepravda"))</f>
        <v/>
      </c>
      <c r="F28" s="75" t="str">
        <f>IF($C28="","",VLOOKUP($C28,sez!$A$2:$B$259,2,"nepravda"))</f>
        <v/>
      </c>
      <c r="G28" s="75" t="str">
        <f>IF($C28="","",VLOOKUP($C28,sez!$A$2:$D$259,4,"nepravda"))</f>
        <v/>
      </c>
      <c r="H28" s="75" t="str">
        <f>IF(C28="","",VLOOKUP($B28,sez!$A$2:$E$259,5,"nepravda")+VLOOKUP($C28,sez!$A$2:$E$259,5))</f>
        <v/>
      </c>
      <c r="I28" s="164"/>
    </row>
    <row r="29" spans="1:9" x14ac:dyDescent="0.2">
      <c r="A29" s="75">
        <v>29</v>
      </c>
      <c r="B29" s="125"/>
      <c r="C29" s="125"/>
      <c r="D29" s="126"/>
      <c r="E29" s="126"/>
      <c r="F29" s="126"/>
      <c r="G29" s="126"/>
      <c r="H29" s="126"/>
    </row>
    <row r="30" spans="1:9" x14ac:dyDescent="0.2">
      <c r="A30" s="75">
        <v>30</v>
      </c>
      <c r="B30" s="125"/>
      <c r="C30" s="125"/>
      <c r="D30" s="126"/>
      <c r="E30" s="126"/>
      <c r="F30" s="126"/>
      <c r="G30" s="126"/>
      <c r="H30" s="126"/>
    </row>
    <row r="31" spans="1:9" x14ac:dyDescent="0.2">
      <c r="A31" s="75">
        <v>31</v>
      </c>
      <c r="B31" s="77">
        <v>26</v>
      </c>
      <c r="C31" s="77">
        <v>27</v>
      </c>
      <c r="D31" s="75" t="str">
        <f>IF($B31="","",VLOOKUP($B31,sez!$A$2:$B$259,2,"nepravda"))</f>
        <v>Vrtěl Maxim</v>
      </c>
      <c r="E31" s="75" t="str">
        <f>IF($B31="","",VLOOKUP($B31,sez!$A$2:$D$259,4,"nepravda"))</f>
        <v>KST Blansko</v>
      </c>
      <c r="F31" s="75" t="str">
        <f>IF($C31="","",VLOOKUP($C31,sez!$A$2:$B$259,2,"nepravda"))</f>
        <v>Wutka Michal</v>
      </c>
      <c r="G31" s="75" t="str">
        <f>IF($C31="","",VLOOKUP($C31,sez!$A$2:$D$259,4,"nepravda"))</f>
        <v>KST Blansko</v>
      </c>
      <c r="H31" s="75">
        <f>IF(C31="","",VLOOKUP($B31,sez!$A$2:$E$259,5,"nepravda")+VLOOKUP($C31,sez!$A$2:$E$259,5))</f>
        <v>2002</v>
      </c>
      <c r="I31" s="165" t="s">
        <v>38</v>
      </c>
    </row>
    <row r="32" spans="1:9" x14ac:dyDescent="0.2">
      <c r="A32" s="75">
        <v>32</v>
      </c>
      <c r="B32" s="77">
        <v>3</v>
      </c>
      <c r="C32" s="77">
        <v>6</v>
      </c>
      <c r="D32" s="75" t="str">
        <f>IF($B32="","",VLOOKUP($B32,sez!$A$2:$B$259,2,"nepravda"))</f>
        <v>Krištof Lukáš</v>
      </c>
      <c r="E32" s="75" t="str">
        <f>IF($B32="","",VLOOKUP($B32,sez!$A$2:$D$259,4,"nepravda"))</f>
        <v>Tišnov</v>
      </c>
      <c r="F32" s="75" t="str">
        <f>IF($C32="","",VLOOKUP($C32,sez!$A$2:$B$259,2,"nepravda"))</f>
        <v>Pařízek Richard</v>
      </c>
      <c r="G32" s="75" t="str">
        <f>IF($C32="","",VLOOKUP($C32,sez!$A$2:$D$259,4,"nepravda"))</f>
        <v>SKST Hodonín</v>
      </c>
      <c r="H32" s="75">
        <f>IF(C32="","",VLOOKUP($B32,sez!$A$2:$E$259,5,"nepravda")+VLOOKUP($C32,sez!$A$2:$E$259,5))</f>
        <v>18</v>
      </c>
      <c r="I32" s="164"/>
    </row>
    <row r="33" spans="1:9" x14ac:dyDescent="0.2">
      <c r="A33" s="75">
        <v>33</v>
      </c>
      <c r="B33" s="77">
        <v>2</v>
      </c>
      <c r="C33" s="77">
        <v>5</v>
      </c>
      <c r="D33" s="75" t="str">
        <f>IF($B33="","",VLOOKUP($B33,sez!$A$2:$B$259,2,"nepravda"))</f>
        <v>Nespěšný Hynek</v>
      </c>
      <c r="E33" s="75" t="str">
        <f>IF($B33="","",VLOOKUP($B33,sez!$A$2:$D$259,4,"nepravda"))</f>
        <v>MS Brno</v>
      </c>
      <c r="F33" s="75" t="str">
        <f>IF($C33="","",VLOOKUP($C33,sez!$A$2:$B$259,2,"nepravda"))</f>
        <v>Drápal Metoděj</v>
      </c>
      <c r="G33" s="75" t="str">
        <f>IF($C33="","",VLOOKUP($C33,sez!$A$2:$D$259,4,"nepravda"))</f>
        <v>MS Brno</v>
      </c>
      <c r="H33" s="75">
        <f>IF(C33="","",VLOOKUP($B33,sez!$A$2:$E$259,5,"nepravda")+VLOOKUP($C33,sez!$A$2:$E$259,5))</f>
        <v>16</v>
      </c>
      <c r="I33" s="164"/>
    </row>
    <row r="34" spans="1:9" x14ac:dyDescent="0.2">
      <c r="A34" s="75">
        <v>34</v>
      </c>
      <c r="B34" s="77">
        <v>12</v>
      </c>
      <c r="C34" s="77">
        <v>13</v>
      </c>
      <c r="D34" s="75" t="str">
        <f>IF($B34="","",VLOOKUP($B34,sez!$A$2:$B$259,2,"nepravda"))</f>
        <v>Horníček Lukáš</v>
      </c>
      <c r="E34" s="75" t="str">
        <f>IF($B34="","",VLOOKUP($B34,sez!$A$2:$D$259,4,"nepravda"))</f>
        <v>MS Brno</v>
      </c>
      <c r="F34" s="75" t="str">
        <f>IF($C34="","",VLOOKUP($C34,sez!$A$2:$B$259,2,"nepravda"))</f>
        <v>Havránek Ondřej</v>
      </c>
      <c r="G34" s="75" t="str">
        <f>IF($C34="","",VLOOKUP($C34,sez!$A$2:$D$259,4,"nepravda"))</f>
        <v>MS Brno</v>
      </c>
      <c r="H34" s="75">
        <f>IF(C34="","",VLOOKUP($B34,sez!$A$2:$E$259,5,"nepravda")+VLOOKUP($C34,sez!$A$2:$E$259,5))</f>
        <v>44</v>
      </c>
      <c r="I34" s="164"/>
    </row>
    <row r="35" spans="1:9" x14ac:dyDescent="0.2">
      <c r="A35" s="75">
        <v>35</v>
      </c>
      <c r="B35" s="77">
        <v>8</v>
      </c>
      <c r="C35" s="77">
        <v>9</v>
      </c>
      <c r="D35" s="75" t="str">
        <f>IF($B35="","",VLOOKUP($B35,sez!$A$2:$B$259,2,"nepravda"))</f>
        <v>Pokorný Martin</v>
      </c>
      <c r="E35" s="75" t="str">
        <f>IF($B35="","",VLOOKUP($B35,sez!$A$2:$D$259,4,"nepravda"))</f>
        <v>KST Blansko</v>
      </c>
      <c r="F35" s="75" t="str">
        <f>IF($C35="","",VLOOKUP($C35,sez!$A$2:$B$259,2,"nepravda"))</f>
        <v>Štěpánek Ondřej</v>
      </c>
      <c r="G35" s="75" t="str">
        <f>IF($C35="","",VLOOKUP($C35,sez!$A$2:$D$259,4,"nepravda"))</f>
        <v>KST Blansko</v>
      </c>
      <c r="H35" s="75">
        <f>IF(C35="","",VLOOKUP($B35,sez!$A$2:$E$259,5,"nepravda")+VLOOKUP($C35,sez!$A$2:$E$259,5))</f>
        <v>26</v>
      </c>
      <c r="I35" s="164"/>
    </row>
    <row r="36" spans="1:9" x14ac:dyDescent="0.2">
      <c r="A36" s="75">
        <v>36</v>
      </c>
      <c r="B36" s="77">
        <v>10</v>
      </c>
      <c r="C36" s="77">
        <v>4</v>
      </c>
      <c r="D36" s="75" t="str">
        <f>IF($B36="","",VLOOKUP($B36,sez!$A$2:$B$259,2,"nepravda"))</f>
        <v>Vincenec Oliver</v>
      </c>
      <c r="E36" s="75" t="str">
        <f>IF($B36="","",VLOOKUP($B36,sez!$A$2:$D$259,4,"nepravda"))</f>
        <v>KST Vyškov</v>
      </c>
      <c r="F36" s="75" t="str">
        <f>IF($C36="","",VLOOKUP($C36,sez!$A$2:$B$259,2,"nepravda"))</f>
        <v>Luska Petr</v>
      </c>
      <c r="G36" s="75" t="str">
        <f>IF($C36="","",VLOOKUP($C36,sez!$A$2:$D$259,4,"nepravda"))</f>
        <v>KST Vyškov</v>
      </c>
      <c r="H36" s="75">
        <f>IF(C36="","",VLOOKUP($B36,sez!$A$2:$E$259,5,"nepravda")+VLOOKUP($C36,sez!$A$2:$E$259,5))</f>
        <v>24</v>
      </c>
      <c r="I36" s="164"/>
    </row>
    <row r="37" spans="1:9" x14ac:dyDescent="0.2">
      <c r="A37" s="75">
        <v>37</v>
      </c>
      <c r="B37" s="77">
        <v>11</v>
      </c>
      <c r="C37" s="77">
        <v>23</v>
      </c>
      <c r="D37" s="75" t="str">
        <f>IF($B37="","",VLOOKUP($B37,sez!$A$2:$B$259,2,"nepravda"))</f>
        <v>Krejčí David</v>
      </c>
      <c r="E37" s="75" t="str">
        <f>IF($B37="","",VLOOKUP($B37,sez!$A$2:$D$259,4,"nepravda"))</f>
        <v>MS Brno</v>
      </c>
      <c r="F37" s="75" t="str">
        <f>IF($C37="","",VLOOKUP($C37,sez!$A$2:$B$259,2,"nepravda"))</f>
        <v>Pluháček Adam</v>
      </c>
      <c r="G37" s="75" t="str">
        <f>IF($C37="","",VLOOKUP($C37,sez!$A$2:$D$259,4,"nepravda"))</f>
        <v>Sokol Brno I</v>
      </c>
      <c r="H37" s="75">
        <f>IF(C37="","",VLOOKUP($B37,sez!$A$2:$E$259,5,"nepravda")+VLOOKUP($C37,sez!$A$2:$E$259,5))</f>
        <v>1020</v>
      </c>
      <c r="I37" s="164"/>
    </row>
    <row r="38" spans="1:9" x14ac:dyDescent="0.2">
      <c r="A38" s="75">
        <v>38</v>
      </c>
      <c r="B38" s="77">
        <v>16</v>
      </c>
      <c r="C38" s="77">
        <v>21</v>
      </c>
      <c r="D38" s="75" t="str">
        <f>IF($B38="","",VLOOKUP($B38,sez!$A$2:$B$259,2,"nepravda"))</f>
        <v>Šimeček Robin</v>
      </c>
      <c r="E38" s="75" t="str">
        <f>IF($B38="","",VLOOKUP($B38,sez!$A$2:$D$259,4,"nepravda"))</f>
        <v>TJ Holásky</v>
      </c>
      <c r="F38" s="75" t="str">
        <f>IF($C38="","",VLOOKUP($C38,sez!$A$2:$B$259,2,"nepravda"))</f>
        <v>Lokaj David</v>
      </c>
      <c r="G38" s="75" t="str">
        <f>IF($C38="","",VLOOKUP($C38,sez!$A$2:$D$259,4,"nepravda"))</f>
        <v>Letonice</v>
      </c>
      <c r="H38" s="75">
        <f>IF(C38="","",VLOOKUP($B38,sez!$A$2:$E$259,5,"nepravda")+VLOOKUP($C38,sez!$A$2:$E$259,5))</f>
        <v>1028</v>
      </c>
      <c r="I38" s="164"/>
    </row>
    <row r="39" spans="1:9" x14ac:dyDescent="0.2">
      <c r="A39" s="75">
        <v>39</v>
      </c>
      <c r="B39" s="77">
        <v>22</v>
      </c>
      <c r="C39" s="77">
        <v>20</v>
      </c>
      <c r="D39" s="75" t="str">
        <f>IF($B39="","",VLOOKUP($B39,sez!$A$2:$B$259,2,"nepravda"))</f>
        <v>Lysoněk Filip</v>
      </c>
      <c r="E39" s="75" t="str">
        <f>IF($B39="","",VLOOKUP($B39,sez!$A$2:$D$259,4,"nepravda"))</f>
        <v>Velké Opatovice</v>
      </c>
      <c r="F39" s="75" t="str">
        <f>IF($C39="","",VLOOKUP($C39,sez!$A$2:$B$259,2,"nepravda"))</f>
        <v>Ševčík Ondřej</v>
      </c>
      <c r="G39" s="75" t="str">
        <f>IF($C39="","",VLOOKUP($C39,sez!$A$2:$D$259,4,"nepravda"))</f>
        <v>Velké Opatovice</v>
      </c>
      <c r="H39" s="75">
        <f>IF(C39="","",VLOOKUP($B39,sez!$A$2:$E$259,5,"nepravda")+VLOOKUP($C39,sez!$A$2:$E$259,5))</f>
        <v>2002</v>
      </c>
      <c r="I39" s="164"/>
    </row>
    <row r="40" spans="1:9" x14ac:dyDescent="0.2">
      <c r="A40" s="75">
        <v>40</v>
      </c>
      <c r="B40" s="77">
        <v>19</v>
      </c>
      <c r="C40" s="77">
        <v>7</v>
      </c>
      <c r="D40" s="75" t="str">
        <f>IF($B40="","",VLOOKUP($B40,sez!$A$2:$B$259,2,"nepravda"))</f>
        <v>Chromník Martin</v>
      </c>
      <c r="E40" s="75" t="str">
        <f>IF($B40="","",VLOOKUP($B40,sez!$A$2:$D$259,4,"nepravda"))</f>
        <v>STP Mikulov</v>
      </c>
      <c r="F40" s="75" t="str">
        <f>IF($C40="","",VLOOKUP($C40,sez!$A$2:$B$259,2,"nepravda"))</f>
        <v>Němeček Radek</v>
      </c>
      <c r="G40" s="75" t="str">
        <f>IF($C40="","",VLOOKUP($C40,sez!$A$2:$D$259,4,"nepravda"))</f>
        <v>MSK Břeclav</v>
      </c>
      <c r="H40" s="75">
        <f>IF(C40="","",VLOOKUP($B40,sez!$A$2:$E$259,5,"nepravda")+VLOOKUP($C40,sez!$A$2:$E$259,5))</f>
        <v>1014</v>
      </c>
      <c r="I40" s="164"/>
    </row>
    <row r="41" spans="1:9" x14ac:dyDescent="0.2">
      <c r="A41" s="75">
        <v>41</v>
      </c>
      <c r="B41" s="77"/>
      <c r="C41" s="77"/>
      <c r="D41" s="75" t="str">
        <f>IF($B41="","",VLOOKUP($B41,sez!$A$2:$B$259,2,"nepravda"))</f>
        <v/>
      </c>
      <c r="E41" s="75" t="str">
        <f>IF($B41="","",VLOOKUP($B41,sez!$A$2:$D$259,4,"nepravda"))</f>
        <v/>
      </c>
      <c r="F41" s="75" t="str">
        <f>IF($C41="","",VLOOKUP($C41,sez!$A$2:$B$259,2,"nepravda"))</f>
        <v/>
      </c>
      <c r="G41" s="75" t="str">
        <f>IF($C41="","",VLOOKUP($C41,sez!$A$2:$D$259,4,"nepravda"))</f>
        <v/>
      </c>
      <c r="H41" s="75" t="str">
        <f>IF(C41="","",VLOOKUP($B41,sez!$A$2:$E$259,5,"nepravda")+VLOOKUP($C41,sez!$A$2:$E$259,5))</f>
        <v/>
      </c>
      <c r="I41" s="164"/>
    </row>
    <row r="42" spans="1:9" x14ac:dyDescent="0.2">
      <c r="A42" s="75">
        <v>42</v>
      </c>
      <c r="B42" s="77"/>
      <c r="C42" s="77"/>
      <c r="D42" s="75" t="str">
        <f>IF($B42="","",VLOOKUP($B42,sez!$A$2:$B$259,2,"nepravda"))</f>
        <v/>
      </c>
      <c r="E42" s="75" t="str">
        <f>IF($B42="","",VLOOKUP($B42,sez!$A$2:$D$259,4,"nepravda"))</f>
        <v/>
      </c>
      <c r="F42" s="75" t="str">
        <f>IF($C42="","",VLOOKUP($C42,sez!$A$2:$B$259,2,"nepravda"))</f>
        <v/>
      </c>
      <c r="G42" s="75" t="str">
        <f>IF($C42="","",VLOOKUP($C42,sez!$A$2:$D$259,4,"nepravda"))</f>
        <v/>
      </c>
      <c r="H42" s="75" t="str">
        <f>IF(C42="","",VLOOKUP($B42,sez!$A$2:$E$259,5,"nepravda")+VLOOKUP($C42,sez!$A$2:$E$259,5))</f>
        <v/>
      </c>
      <c r="I42" s="164"/>
    </row>
    <row r="43" spans="1:9" x14ac:dyDescent="0.2">
      <c r="A43" s="75">
        <v>43</v>
      </c>
      <c r="B43" s="77"/>
      <c r="C43" s="77"/>
      <c r="D43" s="75" t="str">
        <f>IF($B43="","",VLOOKUP($B43,sez!$A$2:$B$259,2,"nepravda"))</f>
        <v/>
      </c>
      <c r="E43" s="75" t="str">
        <f>IF($B43="","",VLOOKUP($B43,sez!$A$2:$D$259,4,"nepravda"))</f>
        <v/>
      </c>
      <c r="F43" s="75" t="str">
        <f>IF($C43="","",VLOOKUP($C43,sez!$A$2:$B$259,2,"nepravda"))</f>
        <v/>
      </c>
      <c r="G43" s="75" t="str">
        <f>IF($C43="","",VLOOKUP($C43,sez!$A$2:$D$259,4,"nepravda"))</f>
        <v/>
      </c>
      <c r="H43" s="75" t="str">
        <f>IF(C43="","",VLOOKUP($B43,sez!$A$2:$E$259,5,"nepravda")+VLOOKUP($C43,sez!$A$2:$E$259,5))</f>
        <v/>
      </c>
      <c r="I43" s="164"/>
    </row>
    <row r="44" spans="1:9" x14ac:dyDescent="0.2">
      <c r="A44" s="75">
        <v>44</v>
      </c>
      <c r="B44" s="77"/>
      <c r="C44" s="77"/>
      <c r="D44" s="75" t="str">
        <f>IF($B44="","",VLOOKUP($B44,sez!$A$2:$B$259,2,"nepravda"))</f>
        <v/>
      </c>
      <c r="E44" s="75" t="str">
        <f>IF($B44="","",VLOOKUP($B44,sez!$A$2:$D$259,4,"nepravda"))</f>
        <v/>
      </c>
      <c r="F44" s="75" t="str">
        <f>IF($C44="","",VLOOKUP($C44,sez!$A$2:$B$259,2,"nepravda"))</f>
        <v/>
      </c>
      <c r="G44" s="75" t="str">
        <f>IF($C44="","",VLOOKUP($C44,sez!$A$2:$D$259,4,"nepravda"))</f>
        <v/>
      </c>
      <c r="H44" s="75" t="str">
        <f>IF(C44="","",VLOOKUP($B44,sez!$A$2:$E$259,5,"nepravda")+VLOOKUP($C44,sez!$A$2:$E$259,5))</f>
        <v/>
      </c>
      <c r="I44" s="164"/>
    </row>
    <row r="45" spans="1:9" x14ac:dyDescent="0.2">
      <c r="A45" s="75">
        <v>45</v>
      </c>
      <c r="B45" s="77"/>
      <c r="C45" s="77"/>
      <c r="D45" s="75" t="str">
        <f>IF($B45="","",VLOOKUP($B45,sez!$A$2:$B$259,2,"nepravda"))</f>
        <v/>
      </c>
      <c r="E45" s="75" t="str">
        <f>IF($B45="","",VLOOKUP($B45,sez!$A$2:$D$259,4,"nepravda"))</f>
        <v/>
      </c>
      <c r="F45" s="75" t="str">
        <f>IF($C45="","",VLOOKUP($C45,sez!$A$2:$B$259,2,"nepravda"))</f>
        <v/>
      </c>
      <c r="G45" s="75" t="str">
        <f>IF($C45="","",VLOOKUP($C45,sez!$A$2:$D$259,4,"nepravda"))</f>
        <v/>
      </c>
      <c r="H45" s="75" t="str">
        <f>IF(C45="","",VLOOKUP($B45,sez!$A$2:$E$259,5,"nepravda")+VLOOKUP($C45,sez!$A$2:$E$259,5))</f>
        <v/>
      </c>
      <c r="I45" s="164"/>
    </row>
    <row r="46" spans="1:9" x14ac:dyDescent="0.2">
      <c r="A46" s="75">
        <v>46</v>
      </c>
      <c r="B46" s="77"/>
      <c r="C46" s="77"/>
      <c r="D46" s="75" t="str">
        <f>IF($B46="","",VLOOKUP($B46,sez!$A$2:$B$259,2,"nepravda"))</f>
        <v/>
      </c>
      <c r="E46" s="75" t="str">
        <f>IF($B46="","",VLOOKUP($B46,sez!$A$2:$D$259,4,"nepravda"))</f>
        <v/>
      </c>
      <c r="F46" s="75" t="str">
        <f>IF($C46="","",VLOOKUP($C46,sez!$A$2:$B$259,2,"nepravda"))</f>
        <v/>
      </c>
      <c r="G46" s="75" t="str">
        <f>IF($C46="","",VLOOKUP($C46,sez!$A$2:$D$259,4,"nepravda"))</f>
        <v/>
      </c>
      <c r="H46" s="75" t="str">
        <f>IF(C46="","",VLOOKUP($B46,sez!$A$2:$E$259,5,"nepravda")+VLOOKUP($C46,sez!$A$2:$E$259,5))</f>
        <v/>
      </c>
      <c r="I46" s="164"/>
    </row>
  </sheetData>
  <mergeCells count="3">
    <mergeCell ref="I1:I16"/>
    <mergeCell ref="I21:I28"/>
    <mergeCell ref="I31:I46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59"/>
  <sheetViews>
    <sheetView tabSelected="1" view="pageLayout" topLeftCell="C41" zoomScaleNormal="100" zoomScaleSheetLayoutView="100" workbookViewId="0">
      <selection activeCell="K25" sqref="K25"/>
    </sheetView>
  </sheetViews>
  <sheetFormatPr defaultRowHeight="15" customHeight="1" x14ac:dyDescent="0.2"/>
  <cols>
    <col min="1" max="1" width="3.42578125" style="24" customWidth="1"/>
    <col min="2" max="2" width="31.140625" style="24" bestFit="1" customWidth="1"/>
    <col min="3" max="8" width="5" style="24" customWidth="1"/>
    <col min="9" max="9" width="1.5703125" style="24" customWidth="1"/>
    <col min="10" max="10" width="30.85546875" style="24" bestFit="1" customWidth="1"/>
    <col min="11" max="11" width="18.7109375" style="24" bestFit="1" customWidth="1"/>
    <col min="12" max="12" width="4.42578125" style="24" customWidth="1"/>
    <col min="13" max="13" width="24.140625" style="24" bestFit="1" customWidth="1"/>
    <col min="14" max="14" width="5.28515625" style="24" bestFit="1" customWidth="1"/>
    <col min="15" max="15" width="14.42578125" style="24" bestFit="1" customWidth="1"/>
    <col min="16" max="16" width="3.7109375" style="24" customWidth="1"/>
    <col min="17" max="17" width="4.7109375" style="24" bestFit="1" customWidth="1"/>
    <col min="18" max="18" width="14.42578125" style="24" bestFit="1" customWidth="1"/>
    <col min="19" max="19" width="2.85546875" style="24" customWidth="1"/>
    <col min="20" max="24" width="5" style="24" bestFit="1" customWidth="1"/>
    <col min="25" max="26" width="5.140625" style="24" customWidth="1"/>
    <col min="27" max="27" width="5.5703125" style="24" bestFit="1" customWidth="1"/>
    <col min="28" max="28" width="4.42578125" style="24" customWidth="1"/>
    <col min="29" max="29" width="8.140625" style="24" bestFit="1" customWidth="1"/>
    <col min="30" max="30" width="3.42578125" style="24" customWidth="1"/>
    <col min="31" max="32" width="3.140625" style="122" customWidth="1"/>
    <col min="33" max="33" width="1.85546875" style="122" customWidth="1"/>
    <col min="34" max="38" width="3.140625" style="122" customWidth="1"/>
    <col min="39" max="39" width="3" style="24" customWidth="1"/>
    <col min="40" max="42" width="0" style="24" hidden="1" customWidth="1"/>
    <col min="43" max="16384" width="9.140625" style="24"/>
  </cols>
  <sheetData>
    <row r="1" spans="1:42" ht="20.25" x14ac:dyDescent="0.3">
      <c r="A1" s="3" t="str">
        <f>úvod!C6</f>
        <v>Krajské přebory</v>
      </c>
      <c r="B1" s="2"/>
      <c r="C1" s="2"/>
      <c r="D1" s="2"/>
      <c r="E1" s="2"/>
      <c r="F1" s="2"/>
      <c r="G1" s="2"/>
    </row>
    <row r="2" spans="1:42" ht="20.25" x14ac:dyDescent="0.3">
      <c r="A2" s="4"/>
      <c r="B2" s="2"/>
      <c r="C2" s="2"/>
      <c r="D2" s="2"/>
      <c r="E2" s="2"/>
      <c r="F2" s="2"/>
      <c r="G2" s="20"/>
      <c r="K2" s="20" t="str">
        <f>CONCATENATE("Dvouhra ",úvod!C8,"M - 1.stupeň")</f>
        <v>Dvouhra U19M - 1.stupeň</v>
      </c>
    </row>
    <row r="3" spans="1:42" ht="15" customHeight="1" thickBot="1" x14ac:dyDescent="0.3">
      <c r="A3" s="2"/>
      <c r="B3" s="2"/>
      <c r="C3" s="4"/>
      <c r="D3" s="2"/>
      <c r="E3" s="2"/>
      <c r="F3" s="2"/>
      <c r="G3" s="15"/>
      <c r="K3" s="80"/>
      <c r="M3" s="25" t="str">
        <f>B4</f>
        <v>muži Skupina A</v>
      </c>
      <c r="N3" s="25" t="s">
        <v>0</v>
      </c>
      <c r="O3" s="25" t="s">
        <v>1</v>
      </c>
      <c r="P3" s="25" t="s">
        <v>2</v>
      </c>
      <c r="Q3" s="25" t="s">
        <v>0</v>
      </c>
      <c r="R3" s="25" t="s">
        <v>3</v>
      </c>
      <c r="S3" s="25" t="s">
        <v>2</v>
      </c>
      <c r="T3" s="26" t="s">
        <v>4</v>
      </c>
      <c r="U3" s="26" t="s">
        <v>5</v>
      </c>
      <c r="V3" s="26" t="s">
        <v>6</v>
      </c>
      <c r="W3" s="26" t="s">
        <v>7</v>
      </c>
      <c r="X3" s="26" t="s">
        <v>8</v>
      </c>
      <c r="Y3" s="25" t="s">
        <v>9</v>
      </c>
      <c r="Z3" s="25" t="s">
        <v>10</v>
      </c>
      <c r="AA3" s="25" t="s">
        <v>11</v>
      </c>
      <c r="AN3" s="24" t="s">
        <v>18</v>
      </c>
    </row>
    <row r="4" spans="1:42" ht="16.5" customHeight="1" thickTop="1" thickBot="1" x14ac:dyDescent="0.3">
      <c r="A4" s="42"/>
      <c r="B4" s="43" t="s">
        <v>98</v>
      </c>
      <c r="C4" s="44">
        <v>1</v>
      </c>
      <c r="D4" s="45">
        <v>2</v>
      </c>
      <c r="E4" s="45">
        <v>3</v>
      </c>
      <c r="F4" s="46">
        <v>4</v>
      </c>
      <c r="G4" s="47" t="s">
        <v>16</v>
      </c>
      <c r="H4" s="46" t="s">
        <v>17</v>
      </c>
      <c r="J4" s="24" t="str">
        <f t="shared" ref="J4:J9" si="0">CONCATENATE(O4," - ",R4)</f>
        <v>Nespěšný Hynek - ----------</v>
      </c>
      <c r="K4" s="24" t="str">
        <f t="shared" ref="K4:K9" si="1">IF(SUM(Y4:Z4)=0,AD4,CONCATENATE(Y4," : ",Z4," (",T4,",",U4,",",V4,IF(Y4+Z4&gt;3,",",""),W4,IF(Y4+Z4&gt;4,",",""),X4,")"))</f>
        <v/>
      </c>
      <c r="M4" s="121" t="str">
        <f>CONCATENATE("1.st. ",úvod!$C$8," - ",M3)</f>
        <v>1.st. U19 - muži Skupina A</v>
      </c>
      <c r="N4" s="121">
        <f>A5</f>
        <v>2</v>
      </c>
      <c r="O4" s="121" t="str">
        <f>IF($N4=0,"----------",VLOOKUP($N4,sez!$A$2:$C$258,2))</f>
        <v>Nespěšný Hynek</v>
      </c>
      <c r="P4" s="121" t="str">
        <f>IF($N4=0,"",VLOOKUP($N4,sez!$A$2:$D$258,4))</f>
        <v>MS Brno</v>
      </c>
      <c r="Q4" s="121">
        <f>A8</f>
        <v>0</v>
      </c>
      <c r="R4" s="121" t="str">
        <f>IF($Q4=0,"----------",VLOOKUP($Q4,sez!$A$2:$C$258,2))</f>
        <v>----------</v>
      </c>
      <c r="S4" s="121" t="str">
        <f>IF($Q4=0,"",VLOOKUP($Q4,sez!$A$2:$D$258,4))</f>
        <v/>
      </c>
      <c r="T4" s="104"/>
      <c r="U4" s="105"/>
      <c r="V4" s="105"/>
      <c r="W4" s="105"/>
      <c r="X4" s="106"/>
      <c r="Y4" s="24">
        <f t="shared" ref="Y4:Y9" si="2">COUNTIF(AH4:AL4,"&gt;0")</f>
        <v>0</v>
      </c>
      <c r="Z4" s="24">
        <f t="shared" ref="Z4:Z9" si="3">COUNTIF(AH4:AL4,"&lt;0")</f>
        <v>0</v>
      </c>
      <c r="AA4" s="24">
        <f t="shared" ref="AA4:AA9" si="4">IF(Y4=Z4,0,IF(Y4&gt;Z4,N4,Q4))</f>
        <v>0</v>
      </c>
      <c r="AB4" s="24" t="str">
        <f>IF($AA4=0,"",VLOOKUP($AA4,sez!$A$2:$C$258,2))</f>
        <v/>
      </c>
      <c r="AC4" s="24" t="str">
        <f t="shared" ref="AC4:AC9" si="5">IF(Y4=Z4,"",IF(Y4&gt;Z4,CONCATENATE(Y4,":",Z4," (",T4,",",U4,",",V4,IF(SUM(Y4:Z4)&gt;3,",",""),W4,IF(SUM(Y4:Z4)&gt;4,",",""),X4,")"),CONCATENATE(Z4,":",Y4," (",-T4,",",-U4,",",-V4,IF(SUM(Y4:Z4)&gt;3,CONCATENATE(",",-W4),""),IF(SUM(Y4:Z4)&gt;4,CONCATENATE(",",-X4),""),")")))</f>
        <v/>
      </c>
      <c r="AD4" s="24" t="str">
        <f t="shared" ref="AD4:AD9" si="6">IF(SUM(Y4:Z4)=0,"",AC4)</f>
        <v/>
      </c>
      <c r="AE4" s="122">
        <f t="shared" ref="AE4:AE9" si="7">IF(T4="",0,IF(Y4&gt;Z4,2,1))</f>
        <v>0</v>
      </c>
      <c r="AF4" s="122">
        <f t="shared" ref="AF4:AF9" si="8">IF(T4="",0,IF(Z4&gt;Y4,2,1))</f>
        <v>0</v>
      </c>
      <c r="AH4" s="122">
        <f t="shared" ref="AH4:AL9" si="9">IF(T4="",0,IF(MID(T4,1,1)="-",-1,1))</f>
        <v>0</v>
      </c>
      <c r="AI4" s="122">
        <f t="shared" si="9"/>
        <v>0</v>
      </c>
      <c r="AJ4" s="122">
        <f t="shared" si="9"/>
        <v>0</v>
      </c>
      <c r="AK4" s="122">
        <f t="shared" si="9"/>
        <v>0</v>
      </c>
      <c r="AL4" s="122">
        <f t="shared" si="9"/>
        <v>0</v>
      </c>
      <c r="AN4" s="24" t="str">
        <f>CONCATENATE("&lt;Table border=1 cellpading=0 cellspacing=0 width=480&gt;&lt;TR&gt;&lt;TH colspan=2&gt;",B4,"&lt;TH&gt;1&lt;TH&gt;2&lt;TH&gt;3&lt;TH&gt;4&lt;TH&gt;Body&lt;TH&gt;Pořadí&lt;/TH&gt;&lt;/TR&gt;")</f>
        <v>&lt;Table border=1 cellpading=0 cellspacing=0 width=480&gt;&lt;TR&gt;&lt;TH colspan=2&gt;muži Skupina A&lt;TH&gt;1&lt;TH&gt;2&lt;TH&gt;3&lt;TH&gt;4&lt;TH&gt;Body&lt;TH&gt;Pořadí&lt;/TH&gt;&lt;/TR&gt;</v>
      </c>
      <c r="AP4" s="24" t="str">
        <f>CONCATENATE("&lt;TR&gt;&lt;TD width=250&gt;",J4,"&lt;TD&gt;",K4,"&lt;/TD&gt;&lt;/TR&gt;")</f>
        <v>&lt;TR&gt;&lt;TD width=250&gt;Nespěšný Hynek - ----------&lt;TD&gt;&lt;/TD&gt;&lt;/TR&gt;</v>
      </c>
    </row>
    <row r="5" spans="1:42" ht="16.5" customHeight="1" thickTop="1" x14ac:dyDescent="0.25">
      <c r="A5" s="116">
        <v>2</v>
      </c>
      <c r="B5" s="37" t="str">
        <f>IF($A5="","",CONCATENATE(VLOOKUP($A5,sez!$A$2:$B$258,2)," (",VLOOKUP($A5,sez!$A$2:$E$259,4),")"))</f>
        <v>Nespěšný Hynek (MS Brno)</v>
      </c>
      <c r="C5" s="38" t="s">
        <v>23</v>
      </c>
      <c r="D5" s="39" t="str">
        <f>IF(Y7+Z7=0,"",CONCATENATE(Y7,":",Z7))</f>
        <v>3:0</v>
      </c>
      <c r="E5" s="39" t="str">
        <f>IF(Y9+Z9=0,"",CONCATENATE(Z9,":",Y9))</f>
        <v>3:0</v>
      </c>
      <c r="F5" s="40" t="str">
        <f>IF(Y4+Z4=0,"",CONCATENATE(Y4,":",Z4))</f>
        <v/>
      </c>
      <c r="G5" s="41">
        <f>IF(AE4+AE7+AF9=0,"",AE4+AE7+AF9)</f>
        <v>4</v>
      </c>
      <c r="H5" s="113">
        <v>1</v>
      </c>
      <c r="J5" s="24" t="str">
        <f t="shared" si="0"/>
        <v>Lysoněk Filip - Lokaj David</v>
      </c>
      <c r="K5" s="24" t="str">
        <f t="shared" si="1"/>
        <v>2 : 3 (-6,10,-7,10,-9)</v>
      </c>
      <c r="M5" s="121" t="str">
        <f>CONCATENATE("1.st. ",úvod!$C$8," - ",M3)</f>
        <v>1.st. U19 - muži Skupina A</v>
      </c>
      <c r="N5" s="121">
        <f>A6</f>
        <v>22</v>
      </c>
      <c r="O5" s="121" t="str">
        <f>IF($N5=0,"----------",VLOOKUP($N5,sez!$A$2:$C$258,2))</f>
        <v>Lysoněk Filip</v>
      </c>
      <c r="P5" s="121" t="str">
        <f>IF($N5=0,"",VLOOKUP($N5,sez!$A$2:$D$258,4))</f>
        <v>Velké Opatovice</v>
      </c>
      <c r="Q5" s="121">
        <f>A7</f>
        <v>21</v>
      </c>
      <c r="R5" s="121" t="str">
        <f>IF($Q5=0,"----------",VLOOKUP($Q5,sez!$A$2:$C$258,2))</f>
        <v>Lokaj David</v>
      </c>
      <c r="S5" s="121" t="str">
        <f>IF($Q5=0,"",VLOOKUP($Q5,sez!$A$2:$D$258,4))</f>
        <v>Letonice</v>
      </c>
      <c r="T5" s="107" t="s">
        <v>81</v>
      </c>
      <c r="U5" s="108" t="s">
        <v>90</v>
      </c>
      <c r="V5" s="108" t="s">
        <v>79</v>
      </c>
      <c r="W5" s="108" t="s">
        <v>90</v>
      </c>
      <c r="X5" s="109" t="s">
        <v>75</v>
      </c>
      <c r="Y5" s="24">
        <f t="shared" si="2"/>
        <v>2</v>
      </c>
      <c r="Z5" s="24">
        <f t="shared" si="3"/>
        <v>3</v>
      </c>
      <c r="AA5" s="24">
        <f t="shared" si="4"/>
        <v>21</v>
      </c>
      <c r="AB5" s="24" t="str">
        <f>IF($AA5=0,"",VLOOKUP($AA5,sez!$A$2:$C$258,2))</f>
        <v>Lokaj David</v>
      </c>
      <c r="AC5" s="24" t="str">
        <f t="shared" si="5"/>
        <v>3:2 (6,-10,7,-10,9)</v>
      </c>
      <c r="AD5" s="24" t="str">
        <f t="shared" si="6"/>
        <v>3:2 (6,-10,7,-10,9)</v>
      </c>
      <c r="AE5" s="122">
        <f t="shared" si="7"/>
        <v>1</v>
      </c>
      <c r="AF5" s="122">
        <f t="shared" si="8"/>
        <v>2</v>
      </c>
      <c r="AH5" s="122">
        <f t="shared" si="9"/>
        <v>-1</v>
      </c>
      <c r="AI5" s="122">
        <f t="shared" si="9"/>
        <v>1</v>
      </c>
      <c r="AJ5" s="122">
        <f t="shared" si="9"/>
        <v>-1</v>
      </c>
      <c r="AK5" s="122">
        <f t="shared" si="9"/>
        <v>1</v>
      </c>
      <c r="AL5" s="122">
        <f t="shared" si="9"/>
        <v>-1</v>
      </c>
      <c r="AN5" s="24" t="str">
        <f>CONCATENATE(AO5,AO6,AO7,AO8,)</f>
        <v>&lt;TR&gt;&lt;TD&gt;2&lt;TD width=200&gt;Nespěšný Hynek (MS Brno)&lt;TD&gt;XXX&lt;TD&gt;3:0&lt;TD&gt;3:0&lt;TD&gt;&lt;TD&gt;4&lt;TD&gt;1&lt;/TD&gt;&lt;/TR&gt;&lt;TR&gt;&lt;TD&gt;22&lt;TD width=200&gt;Lysoněk Filip (Velké Opatovice)&lt;TD&gt;0:3&lt;TD&gt;XXX&lt;TD&gt;2:3&lt;TD&gt;&lt;TD&gt;2&lt;TD&gt;3&lt;/TD&gt;&lt;/TR&gt;&lt;TR&gt;&lt;TD&gt;21&lt;TD width=200&gt;Lokaj David (Letonice)&lt;TD&gt;0:3&lt;TD&gt;3:2&lt;TD&gt;XXX&lt;TD&gt;&lt;TD&gt;3&lt;TD&gt;2&lt;/TD&gt;&lt;/TR&gt;&lt;TR&gt;&lt;TD&gt;&lt;TD width=200&gt;&lt;TD&gt;&lt;TD&gt;&lt;TD&gt;&lt;TD&gt;XXX&lt;TD&gt;&lt;TD&gt;&lt;/TD&gt;&lt;/TR&gt;</v>
      </c>
      <c r="AO5" s="24" t="str">
        <f>CONCATENATE("&lt;TR&gt;&lt;TD&gt;",A5,"&lt;TD width=200&gt;",B5,"&lt;TD&gt;",C5,"&lt;TD&gt;",D5,"&lt;TD&gt;",E5,"&lt;TD&gt;",F5,"&lt;TD&gt;",G5,"&lt;TD&gt;",H5,"&lt;/TD&gt;&lt;/TR&gt;")</f>
        <v>&lt;TR&gt;&lt;TD&gt;2&lt;TD width=200&gt;Nespěšný Hynek (MS Brno)&lt;TD&gt;XXX&lt;TD&gt;3:0&lt;TD&gt;3:0&lt;TD&gt;&lt;TD&gt;4&lt;TD&gt;1&lt;/TD&gt;&lt;/TR&gt;</v>
      </c>
      <c r="AP5" s="24" t="str">
        <f>CONCATENATE("&lt;TR&gt;&lt;TD&gt;",J5,"&lt;TD&gt;",K5,"&lt;/TD&gt;&lt;/TR&gt;")</f>
        <v>&lt;TR&gt;&lt;TD&gt;Lysoněk Filip - Lokaj David&lt;TD&gt;2 : 3 (-6,10,-7,10,-9)&lt;/TD&gt;&lt;/TR&gt;</v>
      </c>
    </row>
    <row r="6" spans="1:42" ht="16.5" customHeight="1" x14ac:dyDescent="0.25">
      <c r="A6" s="117">
        <v>22</v>
      </c>
      <c r="B6" s="31" t="str">
        <f>IF($A6="","",CONCATENATE(VLOOKUP($A6,sez!$A$2:$B$258,2)," (",VLOOKUP($A6,sez!$A$2:$E$259,4),")"))</f>
        <v>Lysoněk Filip (Velké Opatovice)</v>
      </c>
      <c r="C6" s="35" t="str">
        <f>IF(Y7+Z7=0,"",CONCATENATE(Z7,":",Y7))</f>
        <v>0:3</v>
      </c>
      <c r="D6" s="27" t="s">
        <v>23</v>
      </c>
      <c r="E6" s="27" t="str">
        <f>IF(Y5+Z5=0,"",CONCATENATE(Y5,":",Z5))</f>
        <v>2:3</v>
      </c>
      <c r="F6" s="28" t="str">
        <f>IF(Y8+Z8=0,"",CONCATENATE(Y8,":",Z8))</f>
        <v/>
      </c>
      <c r="G6" s="33">
        <f>IF(AE5+AF7+AE8=0,"",AE5+AF7+AE8)</f>
        <v>2</v>
      </c>
      <c r="H6" s="114">
        <v>3</v>
      </c>
      <c r="J6" s="24" t="str">
        <f t="shared" si="0"/>
        <v>---------- - Lokaj David</v>
      </c>
      <c r="K6" s="24" t="str">
        <f t="shared" si="1"/>
        <v/>
      </c>
      <c r="M6" s="121" t="str">
        <f>CONCATENATE("1.st. ",úvod!$C$8," - ",M3)</f>
        <v>1.st. U19 - muži Skupina A</v>
      </c>
      <c r="N6" s="121">
        <f>A8</f>
        <v>0</v>
      </c>
      <c r="O6" s="121" t="str">
        <f>IF($N6=0,"----------",VLOOKUP($N6,sez!$A$2:$C$258,2))</f>
        <v>----------</v>
      </c>
      <c r="P6" s="121" t="str">
        <f>IF($N6=0,"",VLOOKUP($N6,sez!$A$2:$D$258,4))</f>
        <v/>
      </c>
      <c r="Q6" s="121">
        <f>A7</f>
        <v>21</v>
      </c>
      <c r="R6" s="121" t="str">
        <f>IF($Q6=0,"----------",VLOOKUP($Q6,sez!$A$2:$C$258,2))</f>
        <v>Lokaj David</v>
      </c>
      <c r="S6" s="121" t="str">
        <f>IF($Q6=0,"",VLOOKUP($Q6,sez!$A$2:$D$258,4))</f>
        <v>Letonice</v>
      </c>
      <c r="T6" s="107"/>
      <c r="U6" s="108"/>
      <c r="V6" s="108"/>
      <c r="W6" s="108"/>
      <c r="X6" s="109"/>
      <c r="Y6" s="24">
        <f t="shared" si="2"/>
        <v>0</v>
      </c>
      <c r="Z6" s="24">
        <f t="shared" si="3"/>
        <v>0</v>
      </c>
      <c r="AA6" s="24">
        <f t="shared" si="4"/>
        <v>0</v>
      </c>
      <c r="AB6" s="24" t="str">
        <f>IF($AA6=0,"",VLOOKUP($AA6,sez!$A$2:$C$258,2))</f>
        <v/>
      </c>
      <c r="AC6" s="24" t="str">
        <f t="shared" si="5"/>
        <v/>
      </c>
      <c r="AD6" s="24" t="str">
        <f t="shared" si="6"/>
        <v/>
      </c>
      <c r="AE6" s="122">
        <f t="shared" si="7"/>
        <v>0</v>
      </c>
      <c r="AF6" s="122">
        <f t="shared" si="8"/>
        <v>0</v>
      </c>
      <c r="AH6" s="122">
        <f t="shared" si="9"/>
        <v>0</v>
      </c>
      <c r="AI6" s="122">
        <f t="shared" si="9"/>
        <v>0</v>
      </c>
      <c r="AJ6" s="122">
        <f t="shared" si="9"/>
        <v>0</v>
      </c>
      <c r="AK6" s="122">
        <f t="shared" si="9"/>
        <v>0</v>
      </c>
      <c r="AL6" s="122">
        <f t="shared" si="9"/>
        <v>0</v>
      </c>
      <c r="AN6" s="24" t="str">
        <f>CONCATENATE("&lt;/Table&gt;&lt;TD width=420&gt;&lt;Table&gt;")</f>
        <v>&lt;/Table&gt;&lt;TD width=420&gt;&lt;Table&gt;</v>
      </c>
      <c r="AO6" s="24" t="str">
        <f>CONCATENATE("&lt;TR&gt;&lt;TD&gt;",A6,"&lt;TD width=200&gt;",B6,"&lt;TD&gt;",C6,"&lt;TD&gt;",D6,"&lt;TD&gt;",E6,"&lt;TD&gt;",F6,"&lt;TD&gt;",G6,"&lt;TD&gt;",H6,"&lt;/TD&gt;&lt;/TR&gt;")</f>
        <v>&lt;TR&gt;&lt;TD&gt;22&lt;TD width=200&gt;Lysoněk Filip (Velké Opatovice)&lt;TD&gt;0:3&lt;TD&gt;XXX&lt;TD&gt;2:3&lt;TD&gt;&lt;TD&gt;2&lt;TD&gt;3&lt;/TD&gt;&lt;/TR&gt;</v>
      </c>
      <c r="AP6" s="24" t="str">
        <f>CONCATENATE("&lt;TR&gt;&lt;TD&gt;",J6,"&lt;TD&gt;",K6,"&lt;/TD&gt;&lt;/TR&gt;")</f>
        <v>&lt;TR&gt;&lt;TD&gt;---------- - Lokaj David&lt;TD&gt;&lt;/TD&gt;&lt;/TR&gt;</v>
      </c>
    </row>
    <row r="7" spans="1:42" ht="16.5" customHeight="1" x14ac:dyDescent="0.25">
      <c r="A7" s="117">
        <v>21</v>
      </c>
      <c r="B7" s="31" t="str">
        <f>IF($A7="","",CONCATENATE(VLOOKUP($A7,sez!$A$2:$B$258,2)," (",VLOOKUP($A7,sez!$A$2:$E$259,4),")"))</f>
        <v>Lokaj David (Letonice)</v>
      </c>
      <c r="C7" s="35" t="str">
        <f>IF(Y9+Z9=0,"",CONCATENATE(Y9,":",Z9))</f>
        <v>0:3</v>
      </c>
      <c r="D7" s="27" t="str">
        <f>IF(Y5+Z5=0,"",CONCATENATE(Z5,":",Y5))</f>
        <v>3:2</v>
      </c>
      <c r="E7" s="27" t="s">
        <v>23</v>
      </c>
      <c r="F7" s="28" t="str">
        <f>IF(Y6+Z6=0,"",CONCATENATE(Z6,":",Y6))</f>
        <v/>
      </c>
      <c r="G7" s="33">
        <f>IF(AF5+AF6+AE9=0,"",AF5+AF6+AE9)</f>
        <v>3</v>
      </c>
      <c r="H7" s="114">
        <v>2</v>
      </c>
      <c r="J7" s="24" t="str">
        <f t="shared" si="0"/>
        <v>Nespěšný Hynek - Lysoněk Filip</v>
      </c>
      <c r="K7" s="24" t="str">
        <f t="shared" si="1"/>
        <v>3 : 0 (3,7,9)</v>
      </c>
      <c r="M7" s="121" t="str">
        <f>CONCATENATE("1.st. ",úvod!$C$8," - ",M3)</f>
        <v>1.st. U19 - muži Skupina A</v>
      </c>
      <c r="N7" s="121">
        <f>A5</f>
        <v>2</v>
      </c>
      <c r="O7" s="121" t="str">
        <f>IF($N7=0,"----------",VLOOKUP($N7,sez!$A$2:$C$258,2))</f>
        <v>Nespěšný Hynek</v>
      </c>
      <c r="P7" s="121" t="str">
        <f>IF($N7=0,"",VLOOKUP($N7,sez!$A$2:$D$258,4))</f>
        <v>MS Brno</v>
      </c>
      <c r="Q7" s="121">
        <f>A6</f>
        <v>22</v>
      </c>
      <c r="R7" s="121" t="str">
        <f>IF($Q7=0,"----------",VLOOKUP($Q7,sez!$A$2:$C$258,2))</f>
        <v>Lysoněk Filip</v>
      </c>
      <c r="S7" s="121" t="str">
        <f>IF($Q7=0,"",VLOOKUP($Q7,sez!$A$2:$D$258,4))</f>
        <v>Velké Opatovice</v>
      </c>
      <c r="T7" s="107" t="s">
        <v>87</v>
      </c>
      <c r="U7" s="108" t="s">
        <v>72</v>
      </c>
      <c r="V7" s="108" t="s">
        <v>71</v>
      </c>
      <c r="W7" s="108"/>
      <c r="X7" s="109"/>
      <c r="Y7" s="24">
        <f t="shared" si="2"/>
        <v>3</v>
      </c>
      <c r="Z7" s="24">
        <f t="shared" si="3"/>
        <v>0</v>
      </c>
      <c r="AA7" s="24">
        <f t="shared" si="4"/>
        <v>2</v>
      </c>
      <c r="AB7" s="24" t="str">
        <f>IF($AA7=0,"",VLOOKUP($AA7,sez!$A$2:$C$258,2))</f>
        <v>Nespěšný Hynek</v>
      </c>
      <c r="AC7" s="24" t="str">
        <f t="shared" si="5"/>
        <v>3:0 (3,7,9)</v>
      </c>
      <c r="AD7" s="24" t="str">
        <f t="shared" si="6"/>
        <v>3:0 (3,7,9)</v>
      </c>
      <c r="AE7" s="122">
        <f t="shared" si="7"/>
        <v>2</v>
      </c>
      <c r="AF7" s="122">
        <f t="shared" si="8"/>
        <v>1</v>
      </c>
      <c r="AH7" s="122">
        <f t="shared" si="9"/>
        <v>1</v>
      </c>
      <c r="AI7" s="122">
        <f t="shared" si="9"/>
        <v>1</v>
      </c>
      <c r="AJ7" s="122">
        <f t="shared" si="9"/>
        <v>1</v>
      </c>
      <c r="AK7" s="122">
        <f t="shared" si="9"/>
        <v>0</v>
      </c>
      <c r="AL7" s="122">
        <f t="shared" si="9"/>
        <v>0</v>
      </c>
      <c r="AN7" s="24" t="str">
        <f>CONCATENATE(AP4,AP5,AP6,AP7,AP8,AP9,)</f>
        <v>&lt;TR&gt;&lt;TD width=250&gt;Nespěšný Hynek - ----------&lt;TD&gt;&lt;/TD&gt;&lt;/TR&gt;&lt;TR&gt;&lt;TD&gt;Lysoněk Filip - Lokaj David&lt;TD&gt;2 : 3 (-6,10,-7,10,-9)&lt;/TD&gt;&lt;/TR&gt;&lt;TR&gt;&lt;TD&gt;---------- - Lokaj David&lt;TD&gt;&lt;/TD&gt;&lt;/TR&gt;&lt;TR&gt;&lt;TD&gt;Nespěšný Hynek - Lysoněk Filip&lt;TD&gt;3 : 0 (3,7,9)&lt;/TD&gt;&lt;/TR&gt;&lt;TR&gt;&lt;TD&gt;Lysoněk Filip - ----------&lt;TD&gt;&lt;/TD&gt;&lt;/TR&gt;&lt;TR&gt;&lt;TD&gt;Lokaj David - Nespěšný Hynek&lt;TD&gt;0 : 3 (-6,-5,-9)&lt;/TD&gt;&lt;/TR&gt;</v>
      </c>
      <c r="AO7" s="24" t="str">
        <f>CONCATENATE("&lt;TR&gt;&lt;TD&gt;",A7,"&lt;TD width=200&gt;",B7,"&lt;TD&gt;",C7,"&lt;TD&gt;",D7,"&lt;TD&gt;",E7,"&lt;TD&gt;",F7,"&lt;TD&gt;",G7,"&lt;TD&gt;",H7,"&lt;/TD&gt;&lt;/TR&gt;")</f>
        <v>&lt;TR&gt;&lt;TD&gt;21&lt;TD width=200&gt;Lokaj David (Letonice)&lt;TD&gt;0:3&lt;TD&gt;3:2&lt;TD&gt;XXX&lt;TD&gt;&lt;TD&gt;3&lt;TD&gt;2&lt;/TD&gt;&lt;/TR&gt;</v>
      </c>
      <c r="AP7" s="24" t="str">
        <f>CONCATENATE("&lt;TR&gt;&lt;TD&gt;",J7,"&lt;TD&gt;",K7,"&lt;/TD&gt;&lt;/TR&gt;")</f>
        <v>&lt;TR&gt;&lt;TD&gt;Nespěšný Hynek - Lysoněk Filip&lt;TD&gt;3 : 0 (3,7,9)&lt;/TD&gt;&lt;/TR&gt;</v>
      </c>
    </row>
    <row r="8" spans="1:42" ht="16.5" customHeight="1" thickBot="1" x14ac:dyDescent="0.3">
      <c r="A8" s="118"/>
      <c r="B8" s="32" t="str">
        <f>IF($A8="","",CONCATENATE(VLOOKUP($A8,sez!$A$2:$B$258,2)," (",VLOOKUP($A8,sez!$A$2:$E$259,4),")"))</f>
        <v/>
      </c>
      <c r="C8" s="36" t="str">
        <f>IF(Y4+Z4=0,"",CONCATENATE(Z4,":",Y4))</f>
        <v/>
      </c>
      <c r="D8" s="29" t="str">
        <f>IF(Y8+Z8=0,"",CONCATENATE(Z8,":",Y8))</f>
        <v/>
      </c>
      <c r="E8" s="29" t="str">
        <f>IF(Y6+Z6=0,"",CONCATENATE(Y6,":",Z6))</f>
        <v/>
      </c>
      <c r="F8" s="30" t="s">
        <v>23</v>
      </c>
      <c r="G8" s="34" t="str">
        <f>IF(AF4+AE6+AF8=0,"",AF4+AE6+AF8)</f>
        <v/>
      </c>
      <c r="H8" s="115"/>
      <c r="J8" s="24" t="str">
        <f t="shared" si="0"/>
        <v>Lysoněk Filip - ----------</v>
      </c>
      <c r="K8" s="24" t="str">
        <f t="shared" si="1"/>
        <v/>
      </c>
      <c r="M8" s="121" t="str">
        <f>CONCATENATE("1.st. ",úvod!$C$8," - ",M3)</f>
        <v>1.st. U19 - muži Skupina A</v>
      </c>
      <c r="N8" s="121">
        <f>A6</f>
        <v>22</v>
      </c>
      <c r="O8" s="121" t="str">
        <f>IF($N8=0,"----------",VLOOKUP($N8,sez!$A$2:$C$258,2))</f>
        <v>Lysoněk Filip</v>
      </c>
      <c r="P8" s="121" t="str">
        <f>IF($N8=0,"",VLOOKUP($N8,sez!$A$2:$D$258,4))</f>
        <v>Velké Opatovice</v>
      </c>
      <c r="Q8" s="121">
        <f>A8</f>
        <v>0</v>
      </c>
      <c r="R8" s="121" t="str">
        <f>IF($Q8=0,"----------",VLOOKUP($Q8,sez!$A$2:$C$258,2))</f>
        <v>----------</v>
      </c>
      <c r="S8" s="121" t="str">
        <f>IF($Q8=0,"",VLOOKUP($Q8,sez!$A$2:$D$258,4))</f>
        <v/>
      </c>
      <c r="T8" s="107"/>
      <c r="U8" s="108"/>
      <c r="V8" s="108"/>
      <c r="W8" s="108"/>
      <c r="X8" s="109"/>
      <c r="Y8" s="24">
        <f t="shared" si="2"/>
        <v>0</v>
      </c>
      <c r="Z8" s="24">
        <f t="shared" si="3"/>
        <v>0</v>
      </c>
      <c r="AA8" s="24">
        <f t="shared" si="4"/>
        <v>0</v>
      </c>
      <c r="AB8" s="24" t="str">
        <f>IF($AA8=0,"",VLOOKUP($AA8,sez!$A$2:$C$258,2))</f>
        <v/>
      </c>
      <c r="AC8" s="24" t="str">
        <f t="shared" si="5"/>
        <v/>
      </c>
      <c r="AD8" s="24" t="str">
        <f t="shared" si="6"/>
        <v/>
      </c>
      <c r="AE8" s="122">
        <f t="shared" si="7"/>
        <v>0</v>
      </c>
      <c r="AF8" s="122">
        <f t="shared" si="8"/>
        <v>0</v>
      </c>
      <c r="AH8" s="122">
        <f t="shared" si="9"/>
        <v>0</v>
      </c>
      <c r="AI8" s="122">
        <f t="shared" si="9"/>
        <v>0</v>
      </c>
      <c r="AJ8" s="122">
        <f t="shared" si="9"/>
        <v>0</v>
      </c>
      <c r="AK8" s="122">
        <f t="shared" si="9"/>
        <v>0</v>
      </c>
      <c r="AL8" s="122">
        <f t="shared" si="9"/>
        <v>0</v>
      </c>
      <c r="AN8" s="24" t="str">
        <f>CONCATENATE("&lt;/Table&gt;&lt;/TD&gt;&lt;/TR&gt;&lt;/Table&gt;&lt;P&gt;")</f>
        <v>&lt;/Table&gt;&lt;/TD&gt;&lt;/TR&gt;&lt;/Table&gt;&lt;P&gt;</v>
      </c>
      <c r="AO8" s="24" t="str">
        <f>CONCATENATE("&lt;TR&gt;&lt;TD&gt;",A8,"&lt;TD width=200&gt;",B8,"&lt;TD&gt;",C8,"&lt;TD&gt;",D8,"&lt;TD&gt;",E8,"&lt;TD&gt;",F8,"&lt;TD&gt;",G8,"&lt;TD&gt;",H8,"&lt;/TD&gt;&lt;/TR&gt;")</f>
        <v>&lt;TR&gt;&lt;TD&gt;&lt;TD width=200&gt;&lt;TD&gt;&lt;TD&gt;&lt;TD&gt;&lt;TD&gt;XXX&lt;TD&gt;&lt;TD&gt;&lt;/TD&gt;&lt;/TR&gt;</v>
      </c>
      <c r="AP8" s="24" t="str">
        <f>CONCATENATE("&lt;TR&gt;&lt;TD&gt;",J8,"&lt;TD&gt;",K8,"&lt;/TD&gt;&lt;/TR&gt;")</f>
        <v>&lt;TR&gt;&lt;TD&gt;Lysoněk Filip - ----------&lt;TD&gt;&lt;/TD&gt;&lt;/TR&gt;</v>
      </c>
    </row>
    <row r="9" spans="1:42" ht="16.5" customHeight="1" thickTop="1" thickBot="1" x14ac:dyDescent="0.3">
      <c r="J9" s="24" t="str">
        <f t="shared" si="0"/>
        <v>Lokaj David - Nespěšný Hynek</v>
      </c>
      <c r="K9" s="24" t="str">
        <f t="shared" si="1"/>
        <v>0 : 3 (-6,-5,-9)</v>
      </c>
      <c r="M9" s="121" t="str">
        <f>CONCATENATE("1.st. ",úvod!$C$8," - ",M3)</f>
        <v>1.st. U19 - muži Skupina A</v>
      </c>
      <c r="N9" s="121">
        <f>A7</f>
        <v>21</v>
      </c>
      <c r="O9" s="121" t="str">
        <f>IF($N9=0,"----------",VLOOKUP($N9,sez!$A$2:$C$258,2))</f>
        <v>Lokaj David</v>
      </c>
      <c r="P9" s="121" t="str">
        <f>IF($N9=0,"",VLOOKUP($N9,sez!$A$2:$D$258,4))</f>
        <v>Letonice</v>
      </c>
      <c r="Q9" s="121">
        <f>A5</f>
        <v>2</v>
      </c>
      <c r="R9" s="121" t="str">
        <f>IF($Q9=0,"----------",VLOOKUP($Q9,sez!$A$2:$C$258,2))</f>
        <v>Nespěšný Hynek</v>
      </c>
      <c r="S9" s="121" t="str">
        <f>IF($Q9=0,"",VLOOKUP($Q9,sez!$A$2:$D$258,4))</f>
        <v>MS Brno</v>
      </c>
      <c r="T9" s="110" t="s">
        <v>81</v>
      </c>
      <c r="U9" s="111" t="s">
        <v>80</v>
      </c>
      <c r="V9" s="111" t="s">
        <v>75</v>
      </c>
      <c r="W9" s="111"/>
      <c r="X9" s="112"/>
      <c r="Y9" s="24">
        <f t="shared" si="2"/>
        <v>0</v>
      </c>
      <c r="Z9" s="24">
        <f t="shared" si="3"/>
        <v>3</v>
      </c>
      <c r="AA9" s="24">
        <f t="shared" si="4"/>
        <v>2</v>
      </c>
      <c r="AB9" s="24" t="str">
        <f>IF($AA9=0,"",VLOOKUP($AA9,sez!$A$2:$C$258,2))</f>
        <v>Nespěšný Hynek</v>
      </c>
      <c r="AC9" s="24" t="str">
        <f t="shared" si="5"/>
        <v>3:0 (6,5,9)</v>
      </c>
      <c r="AD9" s="24" t="str">
        <f t="shared" si="6"/>
        <v>3:0 (6,5,9)</v>
      </c>
      <c r="AE9" s="122">
        <f t="shared" si="7"/>
        <v>1</v>
      </c>
      <c r="AF9" s="122">
        <f t="shared" si="8"/>
        <v>2</v>
      </c>
      <c r="AH9" s="122">
        <f t="shared" si="9"/>
        <v>-1</v>
      </c>
      <c r="AI9" s="122">
        <f t="shared" si="9"/>
        <v>-1</v>
      </c>
      <c r="AJ9" s="122">
        <f t="shared" si="9"/>
        <v>-1</v>
      </c>
      <c r="AK9" s="122">
        <f t="shared" si="9"/>
        <v>0</v>
      </c>
      <c r="AL9" s="122">
        <f t="shared" si="9"/>
        <v>0</v>
      </c>
      <c r="AP9" s="24" t="str">
        <f>CONCATENATE("&lt;TR&gt;&lt;TD&gt;",J9,"&lt;TD&gt;",K9,"&lt;/TD&gt;&lt;/TR&gt;")</f>
        <v>&lt;TR&gt;&lt;TD&gt;Lokaj David - Nespěšný Hynek&lt;TD&gt;0 : 3 (-6,-5,-9)&lt;/TD&gt;&lt;/TR&gt;</v>
      </c>
    </row>
    <row r="10" spans="1:42" ht="16.5" customHeight="1" thickTop="1" thickBot="1" x14ac:dyDescent="0.25">
      <c r="M10" s="25" t="str">
        <f>B11</f>
        <v>muži Skupina B</v>
      </c>
      <c r="N10" s="25" t="s">
        <v>0</v>
      </c>
      <c r="O10" s="25" t="s">
        <v>1</v>
      </c>
      <c r="P10" s="25" t="s">
        <v>2</v>
      </c>
      <c r="Q10" s="25" t="s">
        <v>0</v>
      </c>
      <c r="R10" s="25" t="s">
        <v>3</v>
      </c>
      <c r="S10" s="25" t="s">
        <v>2</v>
      </c>
      <c r="T10" s="26" t="s">
        <v>4</v>
      </c>
      <c r="U10" s="26" t="s">
        <v>5</v>
      </c>
      <c r="V10" s="26" t="s">
        <v>6</v>
      </c>
      <c r="W10" s="26" t="s">
        <v>7</v>
      </c>
      <c r="X10" s="26" t="s">
        <v>8</v>
      </c>
      <c r="Y10" s="25" t="s">
        <v>9</v>
      </c>
      <c r="Z10" s="25" t="s">
        <v>10</v>
      </c>
      <c r="AA10" s="25" t="s">
        <v>11</v>
      </c>
      <c r="AN10" s="24" t="s">
        <v>18</v>
      </c>
    </row>
    <row r="11" spans="1:42" ht="16.5" customHeight="1" thickTop="1" thickBot="1" x14ac:dyDescent="0.25">
      <c r="A11" s="42"/>
      <c r="B11" s="43" t="s">
        <v>99</v>
      </c>
      <c r="C11" s="44">
        <v>1</v>
      </c>
      <c r="D11" s="45">
        <v>2</v>
      </c>
      <c r="E11" s="45">
        <v>3</v>
      </c>
      <c r="F11" s="46">
        <v>4</v>
      </c>
      <c r="G11" s="47" t="s">
        <v>16</v>
      </c>
      <c r="H11" s="46" t="s">
        <v>17</v>
      </c>
      <c r="J11" s="24" t="str">
        <f t="shared" ref="J11:J16" si="10">CONCATENATE(O11," - ",R11)</f>
        <v>Krištof Lukáš - ----------</v>
      </c>
      <c r="K11" s="24" t="str">
        <f t="shared" ref="K11:K16" si="11">IF(SUM(Y11:Z11)=0,AD11,CONCATENATE(Y11," : ",Z11," (",T11,",",U11,",",V11,IF(Y11+Z11&gt;3,",",""),W11,IF(Y11+Z11&gt;4,",",""),X11,")"))</f>
        <v/>
      </c>
      <c r="M11" s="121" t="str">
        <f>CONCATENATE("1.st. ",úvod!$C$8," - ",M10)</f>
        <v>1.st. U19 - muži Skupina B</v>
      </c>
      <c r="N11" s="121">
        <f>A12</f>
        <v>3</v>
      </c>
      <c r="O11" s="121" t="str">
        <f>IF($N11=0,"----------",VLOOKUP($N11,sez!$A$2:$C$258,2))</f>
        <v>Krištof Lukáš</v>
      </c>
      <c r="P11" s="121" t="str">
        <f>IF($N11=0,"",VLOOKUP($N11,sez!$A$2:$D$258,4))</f>
        <v>Tišnov</v>
      </c>
      <c r="Q11" s="121">
        <f>A15</f>
        <v>0</v>
      </c>
      <c r="R11" s="121" t="str">
        <f>IF($Q11=0,"----------",VLOOKUP($Q11,sez!$A$2:$C$258,2))</f>
        <v>----------</v>
      </c>
      <c r="S11" s="121" t="str">
        <f>IF($Q11=0,"",VLOOKUP($Q11,sez!$A$2:$D$258,4))</f>
        <v/>
      </c>
      <c r="T11" s="53"/>
      <c r="U11" s="54"/>
      <c r="V11" s="54"/>
      <c r="W11" s="54"/>
      <c r="X11" s="55"/>
      <c r="Y11" s="24">
        <f t="shared" ref="Y11:Y16" si="12">COUNTIF(AH11:AL11,"&gt;0")</f>
        <v>0</v>
      </c>
      <c r="Z11" s="24">
        <f t="shared" ref="Z11:Z16" si="13">COUNTIF(AH11:AL11,"&lt;0")</f>
        <v>0</v>
      </c>
      <c r="AA11" s="24">
        <f t="shared" ref="AA11:AA16" si="14">IF(Y11=Z11,0,IF(Y11&gt;Z11,N11,Q11))</f>
        <v>0</v>
      </c>
      <c r="AB11" s="24" t="str">
        <f>IF($AA11=0,"",VLOOKUP($AA11,sez!$A$2:$C$258,2))</f>
        <v/>
      </c>
      <c r="AC11" s="24" t="str">
        <f t="shared" ref="AC11:AC16" si="15">IF(Y11=Z11,"",IF(Y11&gt;Z11,CONCATENATE(Y11,":",Z11," (",T11,",",U11,",",V11,IF(SUM(Y11:Z11)&gt;3,",",""),W11,IF(SUM(Y11:Z11)&gt;4,",",""),X11,")"),CONCATENATE(Z11,":",Y11," (",-T11,",",-U11,",",-V11,IF(SUM(Y11:Z11)&gt;3,CONCATENATE(",",-W11),""),IF(SUM(Y11:Z11)&gt;4,CONCATENATE(",",-X11),""),")")))</f>
        <v/>
      </c>
      <c r="AD11" s="24" t="str">
        <f t="shared" ref="AD11:AD16" si="16">IF(SUM(Y11:Z11)=0,"",AC11)</f>
        <v/>
      </c>
      <c r="AE11" s="122">
        <f t="shared" ref="AE11:AE16" si="17">IF(T11="",0,IF(Y11&gt;Z11,2,1))</f>
        <v>0</v>
      </c>
      <c r="AF11" s="122">
        <f t="shared" ref="AF11:AF16" si="18">IF(T11="",0,IF(Z11&gt;Y11,2,1))</f>
        <v>0</v>
      </c>
      <c r="AH11" s="122">
        <f t="shared" ref="AH11:AL16" si="19">IF(T11="",0,IF(MID(T11,1,1)="-",-1,1))</f>
        <v>0</v>
      </c>
      <c r="AI11" s="122">
        <f t="shared" si="19"/>
        <v>0</v>
      </c>
      <c r="AJ11" s="122">
        <f t="shared" si="19"/>
        <v>0</v>
      </c>
      <c r="AK11" s="122">
        <f t="shared" si="19"/>
        <v>0</v>
      </c>
      <c r="AL11" s="122">
        <f t="shared" si="19"/>
        <v>0</v>
      </c>
      <c r="AN11" s="24" t="str">
        <f>CONCATENATE("&lt;Table border=1 cellpading=0 cellspacing=0 width=480&gt;&lt;TR&gt;&lt;TH colspan=2&gt;",B11,"&lt;TH&gt;1&lt;TH&gt;2&lt;TH&gt;3&lt;TH&gt;4&lt;TH&gt;Body&lt;TH&gt;Pořadí&lt;/TH&gt;&lt;/TR&gt;")</f>
        <v>&lt;Table border=1 cellpading=0 cellspacing=0 width=480&gt;&lt;TR&gt;&lt;TH colspan=2&gt;muži Skupina B&lt;TH&gt;1&lt;TH&gt;2&lt;TH&gt;3&lt;TH&gt;4&lt;TH&gt;Body&lt;TH&gt;Pořadí&lt;/TH&gt;&lt;/TR&gt;</v>
      </c>
      <c r="AP11" s="24" t="str">
        <f>CONCATENATE("&lt;TR&gt;&lt;TD width=250&gt;",J11,"&lt;TD&gt;",K11,"&lt;/TD&gt;&lt;/TR&gt;")</f>
        <v>&lt;TR&gt;&lt;TD width=250&gt;Krištof Lukáš - ----------&lt;TD&gt;&lt;/TD&gt;&lt;/TR&gt;</v>
      </c>
    </row>
    <row r="12" spans="1:42" ht="16.5" customHeight="1" thickTop="1" x14ac:dyDescent="0.2">
      <c r="A12" s="116">
        <v>3</v>
      </c>
      <c r="B12" s="37" t="str">
        <f>IF($A12="","",CONCATENATE(VLOOKUP($A12,sez!$A$2:$B$258,2)," (",VLOOKUP($A12,sez!$A$2:$E$259,4),")"))</f>
        <v>Krištof Lukáš (Tišnov)</v>
      </c>
      <c r="C12" s="38" t="s">
        <v>23</v>
      </c>
      <c r="D12" s="39" t="str">
        <f>IF(Y14+Z14=0,"",CONCATENATE(Y14,":",Z14))</f>
        <v>3:2</v>
      </c>
      <c r="E12" s="39" t="str">
        <f>IF(Y16+Z16=0,"",CONCATENATE(Z16,":",Y16))</f>
        <v>3:1</v>
      </c>
      <c r="F12" s="40" t="str">
        <f>IF(Y11+Z11=0,"",CONCATENATE(Y11,":",Z11))</f>
        <v/>
      </c>
      <c r="G12" s="41">
        <f>IF(AE11+AE14+AF16=0,"",AE11+AE14+AF16)</f>
        <v>4</v>
      </c>
      <c r="H12" s="113">
        <v>1</v>
      </c>
      <c r="J12" s="24" t="str">
        <f t="shared" si="10"/>
        <v>Pluháček Adam - Krejčí David</v>
      </c>
      <c r="K12" s="24" t="str">
        <f t="shared" si="11"/>
        <v>1 : 3 (-12,-9,5,-11)</v>
      </c>
      <c r="M12" s="121" t="str">
        <f>CONCATENATE("1.st. ",úvod!$C$8," - ",M10)</f>
        <v>1.st. U19 - muži Skupina B</v>
      </c>
      <c r="N12" s="121">
        <f>A13</f>
        <v>23</v>
      </c>
      <c r="O12" s="121" t="str">
        <f>IF($N12=0,"----------",VLOOKUP($N12,sez!$A$2:$C$258,2))</f>
        <v>Pluháček Adam</v>
      </c>
      <c r="P12" s="121" t="str">
        <f>IF($N12=0,"",VLOOKUP($N12,sez!$A$2:$D$258,4))</f>
        <v>Sokol Brno I</v>
      </c>
      <c r="Q12" s="121">
        <f>A14</f>
        <v>11</v>
      </c>
      <c r="R12" s="121" t="str">
        <f>IF($Q12=0,"----------",VLOOKUP($Q12,sez!$A$2:$C$258,2))</f>
        <v>Krejčí David</v>
      </c>
      <c r="S12" s="121" t="str">
        <f>IF($Q12=0,"",VLOOKUP($Q12,sez!$A$2:$D$258,4))</f>
        <v>MS Brno</v>
      </c>
      <c r="T12" s="56" t="s">
        <v>93</v>
      </c>
      <c r="U12" s="57" t="s">
        <v>75</v>
      </c>
      <c r="V12" s="57" t="s">
        <v>70</v>
      </c>
      <c r="W12" s="57" t="s">
        <v>94</v>
      </c>
      <c r="X12" s="58"/>
      <c r="Y12" s="24">
        <f t="shared" si="12"/>
        <v>1</v>
      </c>
      <c r="Z12" s="24">
        <f t="shared" si="13"/>
        <v>3</v>
      </c>
      <c r="AA12" s="24">
        <f t="shared" si="14"/>
        <v>11</v>
      </c>
      <c r="AB12" s="24" t="str">
        <f>IF($AA12=0,"",VLOOKUP($AA12,sez!$A$2:$C$258,2))</f>
        <v>Krejčí David</v>
      </c>
      <c r="AC12" s="24" t="str">
        <f t="shared" si="15"/>
        <v>3:1 (12,9,-5,11)</v>
      </c>
      <c r="AD12" s="24" t="str">
        <f t="shared" si="16"/>
        <v>3:1 (12,9,-5,11)</v>
      </c>
      <c r="AE12" s="122">
        <f t="shared" si="17"/>
        <v>1</v>
      </c>
      <c r="AF12" s="122">
        <f t="shared" si="18"/>
        <v>2</v>
      </c>
      <c r="AH12" s="122">
        <f t="shared" si="19"/>
        <v>-1</v>
      </c>
      <c r="AI12" s="122">
        <f t="shared" si="19"/>
        <v>-1</v>
      </c>
      <c r="AJ12" s="122">
        <f t="shared" si="19"/>
        <v>1</v>
      </c>
      <c r="AK12" s="122">
        <f t="shared" si="19"/>
        <v>-1</v>
      </c>
      <c r="AL12" s="122">
        <f t="shared" si="19"/>
        <v>0</v>
      </c>
      <c r="AN12" s="24" t="str">
        <f>CONCATENATE(AO12,AO13,AO14,AO15,)</f>
        <v>&lt;TR&gt;&lt;TD&gt;3&lt;TD width=200&gt;Krištof Lukáš (Tišnov)&lt;TD&gt;XXX&lt;TD&gt;3:2&lt;TD&gt;3:1&lt;TD&gt;&lt;TD&gt;4&lt;TD&gt;1&lt;/TD&gt;&lt;/TR&gt;&lt;TR&gt;&lt;TD&gt;23&lt;TD width=200&gt;Pluháček Adam (Sokol Brno I)&lt;TD&gt;2:3&lt;TD&gt;XXX&lt;TD&gt;1:3&lt;TD&gt;&lt;TD&gt;2&lt;TD&gt;3&lt;/TD&gt;&lt;/TR&gt;&lt;TR&gt;&lt;TD&gt;11&lt;TD width=200&gt;Krejčí David (MS Brno)&lt;TD&gt;1:3&lt;TD&gt;3:1&lt;TD&gt;XXX&lt;TD&gt;&lt;TD&gt;3&lt;TD&gt;2&lt;/TD&gt;&lt;/TR&gt;&lt;TR&gt;&lt;TD&gt;&lt;TD width=200&gt;&lt;TD&gt;&lt;TD&gt;&lt;TD&gt;&lt;TD&gt;XXX&lt;TD&gt;&lt;TD&gt;&lt;/TD&gt;&lt;/TR&gt;</v>
      </c>
      <c r="AO12" s="24" t="str">
        <f>CONCATENATE("&lt;TR&gt;&lt;TD&gt;",A12,"&lt;TD width=200&gt;",B12,"&lt;TD&gt;",C12,"&lt;TD&gt;",D12,"&lt;TD&gt;",E12,"&lt;TD&gt;",F12,"&lt;TD&gt;",G12,"&lt;TD&gt;",H12,"&lt;/TD&gt;&lt;/TR&gt;")</f>
        <v>&lt;TR&gt;&lt;TD&gt;3&lt;TD width=200&gt;Krištof Lukáš (Tišnov)&lt;TD&gt;XXX&lt;TD&gt;3:2&lt;TD&gt;3:1&lt;TD&gt;&lt;TD&gt;4&lt;TD&gt;1&lt;/TD&gt;&lt;/TR&gt;</v>
      </c>
      <c r="AP12" s="24" t="str">
        <f>CONCATENATE("&lt;TR&gt;&lt;TD&gt;",J12,"&lt;TD&gt;",K12,"&lt;/TD&gt;&lt;/TR&gt;")</f>
        <v>&lt;TR&gt;&lt;TD&gt;Pluháček Adam - Krejčí David&lt;TD&gt;1 : 3 (-12,-9,5,-11)&lt;/TD&gt;&lt;/TR&gt;</v>
      </c>
    </row>
    <row r="13" spans="1:42" ht="16.5" customHeight="1" x14ac:dyDescent="0.2">
      <c r="A13" s="117">
        <v>23</v>
      </c>
      <c r="B13" s="31" t="str">
        <f>IF($A13="","",CONCATENATE(VLOOKUP($A13,sez!$A$2:$B$258,2)," (",VLOOKUP($A13,sez!$A$2:$E$259,4),")"))</f>
        <v>Pluháček Adam (Sokol Brno I)</v>
      </c>
      <c r="C13" s="35" t="str">
        <f>IF(Y14+Z14=0,"",CONCATENATE(Z14,":",Y14))</f>
        <v>2:3</v>
      </c>
      <c r="D13" s="27" t="s">
        <v>23</v>
      </c>
      <c r="E13" s="27" t="str">
        <f>IF(Y12+Z12=0,"",CONCATENATE(Y12,":",Z12))</f>
        <v>1:3</v>
      </c>
      <c r="F13" s="28" t="str">
        <f>IF(Y15+Z15=0,"",CONCATENATE(Y15,":",Z15))</f>
        <v/>
      </c>
      <c r="G13" s="33">
        <f>IF(AE12+AF14+AE15=0,"",AE12+AF14+AE15)</f>
        <v>2</v>
      </c>
      <c r="H13" s="114">
        <v>3</v>
      </c>
      <c r="J13" s="24" t="str">
        <f t="shared" si="10"/>
        <v>---------- - Krejčí David</v>
      </c>
      <c r="K13" s="24" t="str">
        <f t="shared" si="11"/>
        <v/>
      </c>
      <c r="M13" s="121" t="str">
        <f>CONCATENATE("1.st. ",úvod!$C$8," - ",M10)</f>
        <v>1.st. U19 - muži Skupina B</v>
      </c>
      <c r="N13" s="121">
        <f>A15</f>
        <v>0</v>
      </c>
      <c r="O13" s="121" t="str">
        <f>IF($N13=0,"----------",VLOOKUP($N13,sez!$A$2:$C$258,2))</f>
        <v>----------</v>
      </c>
      <c r="P13" s="121" t="str">
        <f>IF($N13=0,"",VLOOKUP($N13,sez!$A$2:$D$258,4))</f>
        <v/>
      </c>
      <c r="Q13" s="121">
        <f>A14</f>
        <v>11</v>
      </c>
      <c r="R13" s="121" t="str">
        <f>IF($Q13=0,"----------",VLOOKUP($Q13,sez!$A$2:$C$258,2))</f>
        <v>Krejčí David</v>
      </c>
      <c r="S13" s="121" t="str">
        <f>IF($Q13=0,"",VLOOKUP($Q13,sez!$A$2:$D$258,4))</f>
        <v>MS Brno</v>
      </c>
      <c r="T13" s="56"/>
      <c r="U13" s="57"/>
      <c r="V13" s="57"/>
      <c r="W13" s="57"/>
      <c r="X13" s="58"/>
      <c r="Y13" s="24">
        <f t="shared" si="12"/>
        <v>0</v>
      </c>
      <c r="Z13" s="24">
        <f t="shared" si="13"/>
        <v>0</v>
      </c>
      <c r="AA13" s="24">
        <f t="shared" si="14"/>
        <v>0</v>
      </c>
      <c r="AB13" s="24" t="str">
        <f>IF($AA13=0,"",VLOOKUP($AA13,sez!$A$2:$C$258,2))</f>
        <v/>
      </c>
      <c r="AC13" s="24" t="str">
        <f t="shared" si="15"/>
        <v/>
      </c>
      <c r="AD13" s="24" t="str">
        <f t="shared" si="16"/>
        <v/>
      </c>
      <c r="AE13" s="122">
        <f t="shared" si="17"/>
        <v>0</v>
      </c>
      <c r="AF13" s="122">
        <f t="shared" si="18"/>
        <v>0</v>
      </c>
      <c r="AH13" s="122">
        <f t="shared" si="19"/>
        <v>0</v>
      </c>
      <c r="AI13" s="122">
        <f t="shared" si="19"/>
        <v>0</v>
      </c>
      <c r="AJ13" s="122">
        <f t="shared" si="19"/>
        <v>0</v>
      </c>
      <c r="AK13" s="122">
        <f t="shared" si="19"/>
        <v>0</v>
      </c>
      <c r="AL13" s="122">
        <f t="shared" si="19"/>
        <v>0</v>
      </c>
      <c r="AN13" s="24" t="str">
        <f>CONCATENATE("&lt;/Table&gt;&lt;TD width=420&gt;&lt;Table&gt;")</f>
        <v>&lt;/Table&gt;&lt;TD width=420&gt;&lt;Table&gt;</v>
      </c>
      <c r="AO13" s="24" t="str">
        <f>CONCATENATE("&lt;TR&gt;&lt;TD&gt;",A13,"&lt;TD width=200&gt;",B13,"&lt;TD&gt;",C13,"&lt;TD&gt;",D13,"&lt;TD&gt;",E13,"&lt;TD&gt;",F13,"&lt;TD&gt;",G13,"&lt;TD&gt;",H13,"&lt;/TD&gt;&lt;/TR&gt;")</f>
        <v>&lt;TR&gt;&lt;TD&gt;23&lt;TD width=200&gt;Pluháček Adam (Sokol Brno I)&lt;TD&gt;2:3&lt;TD&gt;XXX&lt;TD&gt;1:3&lt;TD&gt;&lt;TD&gt;2&lt;TD&gt;3&lt;/TD&gt;&lt;/TR&gt;</v>
      </c>
      <c r="AP13" s="24" t="str">
        <f>CONCATENATE("&lt;TR&gt;&lt;TD&gt;",J13,"&lt;TD&gt;",K13,"&lt;/TD&gt;&lt;/TR&gt;")</f>
        <v>&lt;TR&gt;&lt;TD&gt;---------- - Krejčí David&lt;TD&gt;&lt;/TD&gt;&lt;/TR&gt;</v>
      </c>
    </row>
    <row r="14" spans="1:42" ht="16.5" customHeight="1" x14ac:dyDescent="0.2">
      <c r="A14" s="117">
        <v>11</v>
      </c>
      <c r="B14" s="31" t="str">
        <f>IF($A14="","",CONCATENATE(VLOOKUP($A14,sez!$A$2:$B$258,2)," (",VLOOKUP($A14,sez!$A$2:$E$259,4),")"))</f>
        <v>Krejčí David (MS Brno)</v>
      </c>
      <c r="C14" s="35" t="str">
        <f>IF(Y16+Z16=0,"",CONCATENATE(Y16,":",Z16))</f>
        <v>1:3</v>
      </c>
      <c r="D14" s="27" t="str">
        <f>IF(Y12+Z12=0,"",CONCATENATE(Z12,":",Y12))</f>
        <v>3:1</v>
      </c>
      <c r="E14" s="27" t="s">
        <v>23</v>
      </c>
      <c r="F14" s="28" t="str">
        <f>IF(Y13+Z13=0,"",CONCATENATE(Z13,":",Y13))</f>
        <v/>
      </c>
      <c r="G14" s="33">
        <f>IF(AF12+AF13+AE16=0,"",AF12+AF13+AE16)</f>
        <v>3</v>
      </c>
      <c r="H14" s="114">
        <v>2</v>
      </c>
      <c r="J14" s="24" t="str">
        <f t="shared" si="10"/>
        <v>Krištof Lukáš - Pluháček Adam</v>
      </c>
      <c r="K14" s="24" t="str">
        <f t="shared" si="11"/>
        <v>3 : 2 (-8,-10,8,3,5)</v>
      </c>
      <c r="M14" s="121" t="str">
        <f>CONCATENATE("1.st. ",úvod!$C$8," - ",M10)</f>
        <v>1.st. U19 - muži Skupina B</v>
      </c>
      <c r="N14" s="121">
        <f>A12</f>
        <v>3</v>
      </c>
      <c r="O14" s="121" t="str">
        <f>IF($N14=0,"----------",VLOOKUP($N14,sez!$A$2:$C$258,2))</f>
        <v>Krištof Lukáš</v>
      </c>
      <c r="P14" s="121" t="str">
        <f>IF($N14=0,"",VLOOKUP($N14,sez!$A$2:$D$258,4))</f>
        <v>Tišnov</v>
      </c>
      <c r="Q14" s="121">
        <f>A13</f>
        <v>23</v>
      </c>
      <c r="R14" s="121" t="str">
        <f>IF($Q14=0,"----------",VLOOKUP($Q14,sez!$A$2:$C$258,2))</f>
        <v>Pluháček Adam</v>
      </c>
      <c r="S14" s="121" t="str">
        <f>IF($Q14=0,"",VLOOKUP($Q14,sez!$A$2:$D$258,4))</f>
        <v>Sokol Brno I</v>
      </c>
      <c r="T14" s="56" t="s">
        <v>77</v>
      </c>
      <c r="U14" s="57" t="s">
        <v>76</v>
      </c>
      <c r="V14" s="57" t="s">
        <v>82</v>
      </c>
      <c r="W14" s="57" t="s">
        <v>87</v>
      </c>
      <c r="X14" s="58" t="s">
        <v>70</v>
      </c>
      <c r="Y14" s="24">
        <f t="shared" si="12"/>
        <v>3</v>
      </c>
      <c r="Z14" s="24">
        <f t="shared" si="13"/>
        <v>2</v>
      </c>
      <c r="AA14" s="24">
        <f t="shared" si="14"/>
        <v>3</v>
      </c>
      <c r="AB14" s="24" t="str">
        <f>IF($AA14=0,"",VLOOKUP($AA14,sez!$A$2:$C$258,2))</f>
        <v>Krištof Lukáš</v>
      </c>
      <c r="AC14" s="24" t="str">
        <f t="shared" si="15"/>
        <v>3:2 (-8,-10,8,3,5)</v>
      </c>
      <c r="AD14" s="24" t="str">
        <f t="shared" si="16"/>
        <v>3:2 (-8,-10,8,3,5)</v>
      </c>
      <c r="AE14" s="122">
        <f t="shared" si="17"/>
        <v>2</v>
      </c>
      <c r="AF14" s="122">
        <f t="shared" si="18"/>
        <v>1</v>
      </c>
      <c r="AH14" s="122">
        <f t="shared" si="19"/>
        <v>-1</v>
      </c>
      <c r="AI14" s="122">
        <f t="shared" si="19"/>
        <v>-1</v>
      </c>
      <c r="AJ14" s="122">
        <f t="shared" si="19"/>
        <v>1</v>
      </c>
      <c r="AK14" s="122">
        <f t="shared" si="19"/>
        <v>1</v>
      </c>
      <c r="AL14" s="122">
        <f t="shared" si="19"/>
        <v>1</v>
      </c>
      <c r="AN14" s="24" t="str">
        <f>CONCATENATE(AP11,AP12,AP13,AP14,AP15,AP16,)</f>
        <v>&lt;TR&gt;&lt;TD width=250&gt;Krištof Lukáš - ----------&lt;TD&gt;&lt;/TD&gt;&lt;/TR&gt;&lt;TR&gt;&lt;TD&gt;Pluháček Adam - Krejčí David&lt;TD&gt;1 : 3 (-12,-9,5,-11)&lt;/TD&gt;&lt;/TR&gt;&lt;TR&gt;&lt;TD&gt;---------- - Krejčí David&lt;TD&gt;&lt;/TD&gt;&lt;/TR&gt;&lt;TR&gt;&lt;TD&gt;Krištof Lukáš - Pluháček Adam&lt;TD&gt;3 : 2 (-8,-10,8,3,5)&lt;/TD&gt;&lt;/TR&gt;&lt;TR&gt;&lt;TD&gt;Pluháček Adam - ----------&lt;TD&gt;&lt;/TD&gt;&lt;/TR&gt;&lt;TR&gt;&lt;TD&gt;Krejčí David - Krištof Lukáš&lt;TD&gt;1 : 3 (-5,-4,6,-6)&lt;/TD&gt;&lt;/TR&gt;</v>
      </c>
      <c r="AO14" s="24" t="str">
        <f>CONCATENATE("&lt;TR&gt;&lt;TD&gt;",A14,"&lt;TD width=200&gt;",B14,"&lt;TD&gt;",C14,"&lt;TD&gt;",D14,"&lt;TD&gt;",E14,"&lt;TD&gt;",F14,"&lt;TD&gt;",G14,"&lt;TD&gt;",H14,"&lt;/TD&gt;&lt;/TR&gt;")</f>
        <v>&lt;TR&gt;&lt;TD&gt;11&lt;TD width=200&gt;Krejčí David (MS Brno)&lt;TD&gt;1:3&lt;TD&gt;3:1&lt;TD&gt;XXX&lt;TD&gt;&lt;TD&gt;3&lt;TD&gt;2&lt;/TD&gt;&lt;/TR&gt;</v>
      </c>
      <c r="AP14" s="24" t="str">
        <f>CONCATENATE("&lt;TR&gt;&lt;TD&gt;",J14,"&lt;TD&gt;",K14,"&lt;/TD&gt;&lt;/TR&gt;")</f>
        <v>&lt;TR&gt;&lt;TD&gt;Krištof Lukáš - Pluháček Adam&lt;TD&gt;3 : 2 (-8,-10,8,3,5)&lt;/TD&gt;&lt;/TR&gt;</v>
      </c>
    </row>
    <row r="15" spans="1:42" ht="16.5" customHeight="1" thickBot="1" x14ac:dyDescent="0.25">
      <c r="A15" s="118"/>
      <c r="B15" s="32" t="str">
        <f>IF($A15="","",CONCATENATE(VLOOKUP($A15,sez!$A$2:$B$258,2)," (",VLOOKUP($A15,sez!$A$2:$E$259,4),")"))</f>
        <v/>
      </c>
      <c r="C15" s="36" t="str">
        <f>IF(Y11+Z11=0,"",CONCATENATE(Z11,":",Y11))</f>
        <v/>
      </c>
      <c r="D15" s="29" t="str">
        <f>IF(Y15+Z15=0,"",CONCATENATE(Z15,":",Y15))</f>
        <v/>
      </c>
      <c r="E15" s="29" t="str">
        <f>IF(Y13+Z13=0,"",CONCATENATE(Y13,":",Z13))</f>
        <v/>
      </c>
      <c r="F15" s="30" t="s">
        <v>23</v>
      </c>
      <c r="G15" s="34" t="str">
        <f>IF(AF11+AE13+AF15=0,"",AF11+AE13+AF15)</f>
        <v/>
      </c>
      <c r="H15" s="115"/>
      <c r="J15" s="24" t="str">
        <f t="shared" si="10"/>
        <v>Pluháček Adam - ----------</v>
      </c>
      <c r="K15" s="24" t="str">
        <f t="shared" si="11"/>
        <v/>
      </c>
      <c r="M15" s="121" t="str">
        <f>CONCATENATE("1.st. ",úvod!$C$8," - ",M10)</f>
        <v>1.st. U19 - muži Skupina B</v>
      </c>
      <c r="N15" s="121">
        <f>A13</f>
        <v>23</v>
      </c>
      <c r="O15" s="121" t="str">
        <f>IF($N15=0,"----------",VLOOKUP($N15,sez!$A$2:$C$258,2))</f>
        <v>Pluháček Adam</v>
      </c>
      <c r="P15" s="121" t="str">
        <f>IF($N15=0,"",VLOOKUP($N15,sez!$A$2:$D$258,4))</f>
        <v>Sokol Brno I</v>
      </c>
      <c r="Q15" s="121">
        <f>A15</f>
        <v>0</v>
      </c>
      <c r="R15" s="121" t="str">
        <f>IF($Q15=0,"----------",VLOOKUP($Q15,sez!$A$2:$C$258,2))</f>
        <v>----------</v>
      </c>
      <c r="S15" s="121" t="str">
        <f>IF($Q15=0,"",VLOOKUP($Q15,sez!$A$2:$D$258,4))</f>
        <v/>
      </c>
      <c r="T15" s="56"/>
      <c r="U15" s="57"/>
      <c r="V15" s="57"/>
      <c r="W15" s="57"/>
      <c r="X15" s="58"/>
      <c r="Y15" s="24">
        <f t="shared" si="12"/>
        <v>0</v>
      </c>
      <c r="Z15" s="24">
        <f t="shared" si="13"/>
        <v>0</v>
      </c>
      <c r="AA15" s="24">
        <f t="shared" si="14"/>
        <v>0</v>
      </c>
      <c r="AB15" s="24" t="str">
        <f>IF($AA15=0,"",VLOOKUP($AA15,sez!$A$2:$C$258,2))</f>
        <v/>
      </c>
      <c r="AC15" s="24" t="str">
        <f t="shared" si="15"/>
        <v/>
      </c>
      <c r="AD15" s="24" t="str">
        <f t="shared" si="16"/>
        <v/>
      </c>
      <c r="AE15" s="122">
        <f t="shared" si="17"/>
        <v>0</v>
      </c>
      <c r="AF15" s="122">
        <f t="shared" si="18"/>
        <v>0</v>
      </c>
      <c r="AH15" s="122">
        <f t="shared" si="19"/>
        <v>0</v>
      </c>
      <c r="AI15" s="122">
        <f t="shared" si="19"/>
        <v>0</v>
      </c>
      <c r="AJ15" s="122">
        <f t="shared" si="19"/>
        <v>0</v>
      </c>
      <c r="AK15" s="122">
        <f t="shared" si="19"/>
        <v>0</v>
      </c>
      <c r="AL15" s="122">
        <f t="shared" si="19"/>
        <v>0</v>
      </c>
      <c r="AN15" s="24" t="str">
        <f>CONCATENATE("&lt;/Table&gt;&lt;/TD&gt;&lt;/TR&gt;&lt;/Table&gt;&lt;P&gt;")</f>
        <v>&lt;/Table&gt;&lt;/TD&gt;&lt;/TR&gt;&lt;/Table&gt;&lt;P&gt;</v>
      </c>
      <c r="AO15" s="24" t="str">
        <f>CONCATENATE("&lt;TR&gt;&lt;TD&gt;",A15,"&lt;TD width=200&gt;",B15,"&lt;TD&gt;",C15,"&lt;TD&gt;",D15,"&lt;TD&gt;",E15,"&lt;TD&gt;",F15,"&lt;TD&gt;",G15,"&lt;TD&gt;",H15,"&lt;/TD&gt;&lt;/TR&gt;")</f>
        <v>&lt;TR&gt;&lt;TD&gt;&lt;TD width=200&gt;&lt;TD&gt;&lt;TD&gt;&lt;TD&gt;&lt;TD&gt;XXX&lt;TD&gt;&lt;TD&gt;&lt;/TD&gt;&lt;/TR&gt;</v>
      </c>
      <c r="AP15" s="24" t="str">
        <f>CONCATENATE("&lt;TR&gt;&lt;TD&gt;",J15,"&lt;TD&gt;",K15,"&lt;/TD&gt;&lt;/TR&gt;")</f>
        <v>&lt;TR&gt;&lt;TD&gt;Pluháček Adam - ----------&lt;TD&gt;&lt;/TD&gt;&lt;/TR&gt;</v>
      </c>
    </row>
    <row r="16" spans="1:42" ht="16.5" customHeight="1" thickTop="1" thickBot="1" x14ac:dyDescent="0.25">
      <c r="J16" s="24" t="str">
        <f t="shared" si="10"/>
        <v>Krejčí David - Krištof Lukáš</v>
      </c>
      <c r="K16" s="24" t="str">
        <f t="shared" si="11"/>
        <v>1 : 3 (-5,-4,6,-6)</v>
      </c>
      <c r="M16" s="121" t="str">
        <f>CONCATENATE("1.st. ",úvod!$C$8," - ",M10)</f>
        <v>1.st. U19 - muži Skupina B</v>
      </c>
      <c r="N16" s="121">
        <f>A14</f>
        <v>11</v>
      </c>
      <c r="O16" s="121" t="str">
        <f>IF($N16=0,"----------",VLOOKUP($N16,sez!$A$2:$C$258,2))</f>
        <v>Krejčí David</v>
      </c>
      <c r="P16" s="121" t="str">
        <f>IF($N16=0,"",VLOOKUP($N16,sez!$A$2:$D$258,4))</f>
        <v>MS Brno</v>
      </c>
      <c r="Q16" s="121">
        <f>A12</f>
        <v>3</v>
      </c>
      <c r="R16" s="121" t="str">
        <f>IF($Q16=0,"----------",VLOOKUP($Q16,sez!$A$2:$C$258,2))</f>
        <v>Krištof Lukáš</v>
      </c>
      <c r="S16" s="121" t="str">
        <f>IF($Q16=0,"",VLOOKUP($Q16,sez!$A$2:$D$258,4))</f>
        <v>Tišnov</v>
      </c>
      <c r="T16" s="59" t="s">
        <v>80</v>
      </c>
      <c r="U16" s="60" t="s">
        <v>73</v>
      </c>
      <c r="V16" s="60" t="s">
        <v>83</v>
      </c>
      <c r="W16" s="60" t="s">
        <v>81</v>
      </c>
      <c r="X16" s="61"/>
      <c r="Y16" s="24">
        <f t="shared" si="12"/>
        <v>1</v>
      </c>
      <c r="Z16" s="24">
        <f t="shared" si="13"/>
        <v>3</v>
      </c>
      <c r="AA16" s="24">
        <f t="shared" si="14"/>
        <v>3</v>
      </c>
      <c r="AB16" s="24" t="str">
        <f>IF($AA16=0,"",VLOOKUP($AA16,sez!$A$2:$C$258,2))</f>
        <v>Krištof Lukáš</v>
      </c>
      <c r="AC16" s="24" t="str">
        <f t="shared" si="15"/>
        <v>3:1 (5,4,-6,6)</v>
      </c>
      <c r="AD16" s="24" t="str">
        <f t="shared" si="16"/>
        <v>3:1 (5,4,-6,6)</v>
      </c>
      <c r="AE16" s="122">
        <f t="shared" si="17"/>
        <v>1</v>
      </c>
      <c r="AF16" s="122">
        <f t="shared" si="18"/>
        <v>2</v>
      </c>
      <c r="AH16" s="122">
        <f t="shared" si="19"/>
        <v>-1</v>
      </c>
      <c r="AI16" s="122">
        <f t="shared" si="19"/>
        <v>-1</v>
      </c>
      <c r="AJ16" s="122">
        <f t="shared" si="19"/>
        <v>1</v>
      </c>
      <c r="AK16" s="122">
        <f t="shared" si="19"/>
        <v>-1</v>
      </c>
      <c r="AL16" s="122">
        <f t="shared" si="19"/>
        <v>0</v>
      </c>
      <c r="AP16" s="24" t="str">
        <f>CONCATENATE("&lt;TR&gt;&lt;TD&gt;",J16,"&lt;TD&gt;",K16,"&lt;/TD&gt;&lt;/TR&gt;")</f>
        <v>&lt;TR&gt;&lt;TD&gt;Krejčí David - Krištof Lukáš&lt;TD&gt;1 : 3 (-5,-4,6,-6)&lt;/TD&gt;&lt;/TR&gt;</v>
      </c>
    </row>
    <row r="17" spans="1:42" ht="16.5" customHeight="1" thickTop="1" thickBot="1" x14ac:dyDescent="0.25">
      <c r="M17" s="25" t="str">
        <f>B18</f>
        <v>muži Skupina C</v>
      </c>
      <c r="N17" s="25" t="s">
        <v>0</v>
      </c>
      <c r="O17" s="25" t="s">
        <v>1</v>
      </c>
      <c r="P17" s="25" t="s">
        <v>2</v>
      </c>
      <c r="Q17" s="25" t="s">
        <v>0</v>
      </c>
      <c r="R17" s="25" t="s">
        <v>3</v>
      </c>
      <c r="S17" s="25" t="s">
        <v>2</v>
      </c>
      <c r="T17" s="26" t="s">
        <v>4</v>
      </c>
      <c r="U17" s="26" t="s">
        <v>5</v>
      </c>
      <c r="V17" s="26" t="s">
        <v>6</v>
      </c>
      <c r="W17" s="26" t="s">
        <v>7</v>
      </c>
      <c r="X17" s="26" t="s">
        <v>8</v>
      </c>
      <c r="Y17" s="25" t="s">
        <v>9</v>
      </c>
      <c r="Z17" s="25" t="s">
        <v>10</v>
      </c>
      <c r="AA17" s="25" t="s">
        <v>11</v>
      </c>
      <c r="AN17" s="24" t="s">
        <v>18</v>
      </c>
    </row>
    <row r="18" spans="1:42" ht="16.5" customHeight="1" thickTop="1" thickBot="1" x14ac:dyDescent="0.25">
      <c r="A18" s="42"/>
      <c r="B18" s="43" t="s">
        <v>100</v>
      </c>
      <c r="C18" s="44">
        <v>1</v>
      </c>
      <c r="D18" s="45">
        <v>2</v>
      </c>
      <c r="E18" s="45">
        <v>3</v>
      </c>
      <c r="F18" s="46">
        <v>4</v>
      </c>
      <c r="G18" s="47" t="s">
        <v>16</v>
      </c>
      <c r="H18" s="46" t="s">
        <v>17</v>
      </c>
      <c r="J18" s="24" t="str">
        <f t="shared" ref="J18:J23" si="20">CONCATENATE(O18," - ",R18)</f>
        <v>Luska Petr - ----------</v>
      </c>
      <c r="K18" s="24" t="str">
        <f t="shared" ref="K18:K23" si="21">IF(SUM(Y18:Z18)=0,AD18,CONCATENATE(Y18," : ",Z18," (",T18,",",U18,",",V18,IF(Y18+Z18&gt;3,",",""),W18,IF(Y18+Z18&gt;4,",",""),X18,")"))</f>
        <v/>
      </c>
      <c r="M18" s="121" t="str">
        <f>CONCATENATE("1.st. ",úvod!$C$8," - ",M17)</f>
        <v>1.st. U19 - muži Skupina C</v>
      </c>
      <c r="N18" s="121">
        <f>A19</f>
        <v>4</v>
      </c>
      <c r="O18" s="121" t="str">
        <f>IF($N18=0,"----------",VLOOKUP($N18,sez!$A$2:$C$258,2))</f>
        <v>Luska Petr</v>
      </c>
      <c r="P18" s="121" t="str">
        <f>IF($N18=0,"",VLOOKUP($N18,sez!$A$2:$D$258,4))</f>
        <v>KST Vyškov</v>
      </c>
      <c r="Q18" s="121">
        <f>A22</f>
        <v>0</v>
      </c>
      <c r="R18" s="121" t="str">
        <f>IF($Q18=0,"----------",VLOOKUP($Q18,sez!$A$2:$C$258,2))</f>
        <v>----------</v>
      </c>
      <c r="S18" s="121" t="str">
        <f>IF($Q18=0,"",VLOOKUP($Q18,sez!$A$2:$D$258,4))</f>
        <v/>
      </c>
      <c r="T18" s="53"/>
      <c r="U18" s="54"/>
      <c r="V18" s="54"/>
      <c r="W18" s="54"/>
      <c r="X18" s="55"/>
      <c r="Y18" s="24">
        <f t="shared" ref="Y18:Y23" si="22">COUNTIF(AH18:AL18,"&gt;0")</f>
        <v>0</v>
      </c>
      <c r="Z18" s="24">
        <f t="shared" ref="Z18:Z23" si="23">COUNTIF(AH18:AL18,"&lt;0")</f>
        <v>0</v>
      </c>
      <c r="AA18" s="24">
        <f t="shared" ref="AA18:AA23" si="24">IF(Y18=Z18,0,IF(Y18&gt;Z18,N18,Q18))</f>
        <v>0</v>
      </c>
      <c r="AB18" s="24" t="str">
        <f>IF($AA18=0,"",VLOOKUP($AA18,sez!$A$2:$C$258,2))</f>
        <v/>
      </c>
      <c r="AC18" s="24" t="str">
        <f t="shared" ref="AC18:AC23" si="25">IF(Y18=Z18,"",IF(Y18&gt;Z18,CONCATENATE(Y18,":",Z18," (",T18,",",U18,",",V18,IF(SUM(Y18:Z18)&gt;3,",",""),W18,IF(SUM(Y18:Z18)&gt;4,",",""),X18,")"),CONCATENATE(Z18,":",Y18," (",-T18,",",-U18,",",-V18,IF(SUM(Y18:Z18)&gt;3,CONCATENATE(",",-W18),""),IF(SUM(Y18:Z18)&gt;4,CONCATENATE(",",-X18),""),")")))</f>
        <v/>
      </c>
      <c r="AD18" s="24" t="str">
        <f t="shared" ref="AD18:AD23" si="26">IF(SUM(Y18:Z18)=0,"",AC18)</f>
        <v/>
      </c>
      <c r="AE18" s="122">
        <f t="shared" ref="AE18:AE23" si="27">IF(T18="",0,IF(Y18&gt;Z18,2,1))</f>
        <v>0</v>
      </c>
      <c r="AF18" s="122">
        <f t="shared" ref="AF18:AF23" si="28">IF(T18="",0,IF(Z18&gt;Y18,2,1))</f>
        <v>0</v>
      </c>
      <c r="AH18" s="122">
        <f t="shared" ref="AH18:AL23" si="29">IF(T18="",0,IF(MID(T18,1,1)="-",-1,1))</f>
        <v>0</v>
      </c>
      <c r="AI18" s="122">
        <f t="shared" si="29"/>
        <v>0</v>
      </c>
      <c r="AJ18" s="122">
        <f t="shared" si="29"/>
        <v>0</v>
      </c>
      <c r="AK18" s="122">
        <f t="shared" si="29"/>
        <v>0</v>
      </c>
      <c r="AL18" s="122">
        <f t="shared" si="29"/>
        <v>0</v>
      </c>
      <c r="AN18" s="24" t="str">
        <f>CONCATENATE("&lt;Table border=1 cellpading=0 cellspacing=0 width=480&gt;&lt;TR&gt;&lt;TH colspan=2&gt;",B18,"&lt;TH&gt;1&lt;TH&gt;2&lt;TH&gt;3&lt;TH&gt;4&lt;TH&gt;Body&lt;TH&gt;Pořadí&lt;/TH&gt;&lt;/TR&gt;")</f>
        <v>&lt;Table border=1 cellpading=0 cellspacing=0 width=480&gt;&lt;TR&gt;&lt;TH colspan=2&gt;muži Skupina C&lt;TH&gt;1&lt;TH&gt;2&lt;TH&gt;3&lt;TH&gt;4&lt;TH&gt;Body&lt;TH&gt;Pořadí&lt;/TH&gt;&lt;/TR&gt;</v>
      </c>
      <c r="AP18" s="24" t="str">
        <f>CONCATENATE("&lt;TR&gt;&lt;TD width=250&gt;",J18,"&lt;TD&gt;",K18,"&lt;/TD&gt;&lt;/TR&gt;")</f>
        <v>&lt;TR&gt;&lt;TD width=250&gt;Luska Petr - ----------&lt;TD&gt;&lt;/TD&gt;&lt;/TR&gt;</v>
      </c>
    </row>
    <row r="19" spans="1:42" ht="16.5" customHeight="1" thickTop="1" x14ac:dyDescent="0.2">
      <c r="A19" s="116">
        <v>4</v>
      </c>
      <c r="B19" s="37" t="str">
        <f>IF($A19="","",CONCATENATE(VLOOKUP($A19,sez!$A$2:$B$258,2)," (",VLOOKUP($A19,sez!$A$2:$E$259,4),")"))</f>
        <v>Luska Petr (KST Vyškov)</v>
      </c>
      <c r="C19" s="38" t="s">
        <v>23</v>
      </c>
      <c r="D19" s="39" t="str">
        <f>IF(Y21+Z21=0,"",CONCATENATE(Y21,":",Z21))</f>
        <v>3:0</v>
      </c>
      <c r="E19" s="39" t="str">
        <f>IF(Y23+Z23=0,"",CONCATENATE(Z23,":",Y23))</f>
        <v>3:0</v>
      </c>
      <c r="F19" s="40" t="str">
        <f>IF(Y18+Z18=0,"",CONCATENATE(Y18,":",Z18))</f>
        <v/>
      </c>
      <c r="G19" s="41">
        <f>IF(AE18+AE21+AF23=0,"",AE18+AE21+AF23)</f>
        <v>4</v>
      </c>
      <c r="H19" s="113">
        <v>1</v>
      </c>
      <c r="J19" s="24" t="str">
        <f t="shared" si="20"/>
        <v>Ševčík Ondřej - Štěpánek Ondřej</v>
      </c>
      <c r="K19" s="24" t="str">
        <f t="shared" si="21"/>
        <v>0 : 4 (-9,-9,-7,-7)</v>
      </c>
      <c r="M19" s="121" t="str">
        <f>CONCATENATE("1.st. ",úvod!$C$8," - ",M17)</f>
        <v>1.st. U19 - muži Skupina C</v>
      </c>
      <c r="N19" s="121">
        <f>A20</f>
        <v>20</v>
      </c>
      <c r="O19" s="121" t="str">
        <f>IF($N19=0,"----------",VLOOKUP($N19,sez!$A$2:$C$258,2))</f>
        <v>Ševčík Ondřej</v>
      </c>
      <c r="P19" s="121" t="str">
        <f>IF($N19=0,"",VLOOKUP($N19,sez!$A$2:$D$258,4))</f>
        <v>Velké Opatovice</v>
      </c>
      <c r="Q19" s="121">
        <f>A21</f>
        <v>9</v>
      </c>
      <c r="R19" s="121" t="str">
        <f>IF($Q19=0,"----------",VLOOKUP($Q19,sez!$A$2:$C$258,2))</f>
        <v>Štěpánek Ondřej</v>
      </c>
      <c r="S19" s="121" t="str">
        <f>IF($Q19=0,"",VLOOKUP($Q19,sez!$A$2:$D$258,4))</f>
        <v>KST Blansko</v>
      </c>
      <c r="T19" s="56" t="s">
        <v>75</v>
      </c>
      <c r="U19" s="57" t="s">
        <v>75</v>
      </c>
      <c r="V19" s="57" t="s">
        <v>79</v>
      </c>
      <c r="W19" s="57"/>
      <c r="X19" s="58" t="s">
        <v>79</v>
      </c>
      <c r="Y19" s="24">
        <f t="shared" si="22"/>
        <v>0</v>
      </c>
      <c r="Z19" s="24">
        <f t="shared" si="23"/>
        <v>4</v>
      </c>
      <c r="AA19" s="24">
        <f t="shared" si="24"/>
        <v>9</v>
      </c>
      <c r="AB19" s="24" t="str">
        <f>IF($AA19=0,"",VLOOKUP($AA19,sez!$A$2:$C$258,2))</f>
        <v>Štěpánek Ondřej</v>
      </c>
      <c r="AC19" s="24" t="str">
        <f t="shared" si="25"/>
        <v>4:0 (9,9,7,0)</v>
      </c>
      <c r="AD19" s="24" t="str">
        <f t="shared" si="26"/>
        <v>4:0 (9,9,7,0)</v>
      </c>
      <c r="AE19" s="122">
        <f t="shared" si="27"/>
        <v>1</v>
      </c>
      <c r="AF19" s="122">
        <f t="shared" si="28"/>
        <v>2</v>
      </c>
      <c r="AH19" s="122">
        <f t="shared" si="29"/>
        <v>-1</v>
      </c>
      <c r="AI19" s="122">
        <f t="shared" si="29"/>
        <v>-1</v>
      </c>
      <c r="AJ19" s="122">
        <f t="shared" si="29"/>
        <v>-1</v>
      </c>
      <c r="AK19" s="122">
        <f t="shared" si="29"/>
        <v>0</v>
      </c>
      <c r="AL19" s="122">
        <f t="shared" si="29"/>
        <v>-1</v>
      </c>
      <c r="AN19" s="24" t="str">
        <f>CONCATENATE(AO19,AO20,AO21,AO22,)</f>
        <v>&lt;TR&gt;&lt;TD&gt;4&lt;TD width=200&gt;Luska Petr (KST Vyškov)&lt;TD&gt;XXX&lt;TD&gt;3:0&lt;TD&gt;3:0&lt;TD&gt;&lt;TD&gt;4&lt;TD&gt;1&lt;/TD&gt;&lt;/TR&gt;&lt;TR&gt;&lt;TD&gt;20&lt;TD width=200&gt;Ševčík Ondřej (Velké Opatovice)&lt;TD&gt;0:3&lt;TD&gt;XXX&lt;TD&gt;0:4&lt;TD&gt;&lt;TD&gt;2&lt;TD&gt;3&lt;/TD&gt;&lt;/TR&gt;&lt;TR&gt;&lt;TD&gt;9&lt;TD width=200&gt;Štěpánek Ondřej (KST Blansko)&lt;TD&gt;0:3&lt;TD&gt;4:0&lt;TD&gt;XXX&lt;TD&gt;&lt;TD&gt;3&lt;TD&gt;2&lt;/TD&gt;&lt;/TR&gt;&lt;TR&gt;&lt;TD&gt;&lt;TD width=200&gt;&lt;TD&gt;&lt;TD&gt;&lt;TD&gt;&lt;TD&gt;XXX&lt;TD&gt;&lt;TD&gt;&lt;/TD&gt;&lt;/TR&gt;</v>
      </c>
      <c r="AO19" s="24" t="str">
        <f>CONCATENATE("&lt;TR&gt;&lt;TD&gt;",A19,"&lt;TD width=200&gt;",B19,"&lt;TD&gt;",C19,"&lt;TD&gt;",D19,"&lt;TD&gt;",E19,"&lt;TD&gt;",F19,"&lt;TD&gt;",G19,"&lt;TD&gt;",H19,"&lt;/TD&gt;&lt;/TR&gt;")</f>
        <v>&lt;TR&gt;&lt;TD&gt;4&lt;TD width=200&gt;Luska Petr (KST Vyškov)&lt;TD&gt;XXX&lt;TD&gt;3:0&lt;TD&gt;3:0&lt;TD&gt;&lt;TD&gt;4&lt;TD&gt;1&lt;/TD&gt;&lt;/TR&gt;</v>
      </c>
      <c r="AP19" s="24" t="str">
        <f>CONCATENATE("&lt;TR&gt;&lt;TD&gt;",J19,"&lt;TD&gt;",K19,"&lt;/TD&gt;&lt;/TR&gt;")</f>
        <v>&lt;TR&gt;&lt;TD&gt;Ševčík Ondřej - Štěpánek Ondřej&lt;TD&gt;0 : 4 (-9,-9,-7,-7)&lt;/TD&gt;&lt;/TR&gt;</v>
      </c>
    </row>
    <row r="20" spans="1:42" ht="16.5" customHeight="1" x14ac:dyDescent="0.2">
      <c r="A20" s="117">
        <v>20</v>
      </c>
      <c r="B20" s="31" t="str">
        <f>IF($A20="","",CONCATENATE(VLOOKUP($A20,sez!$A$2:$B$258,2)," (",VLOOKUP($A20,sez!$A$2:$E$259,4),")"))</f>
        <v>Ševčík Ondřej (Velké Opatovice)</v>
      </c>
      <c r="C20" s="35" t="str">
        <f>IF(Y21+Z21=0,"",CONCATENATE(Z21,":",Y21))</f>
        <v>0:3</v>
      </c>
      <c r="D20" s="27" t="s">
        <v>23</v>
      </c>
      <c r="E20" s="27" t="str">
        <f>IF(Y19+Z19=0,"",CONCATENATE(Y19,":",Z19))</f>
        <v>0:4</v>
      </c>
      <c r="F20" s="28" t="str">
        <f>IF(Y22+Z22=0,"",CONCATENATE(Y22,":",Z22))</f>
        <v/>
      </c>
      <c r="G20" s="33">
        <f>IF(AE19+AF21+AE22=0,"",AE19+AF21+AE22)</f>
        <v>2</v>
      </c>
      <c r="H20" s="114">
        <v>3</v>
      </c>
      <c r="I20" s="25"/>
      <c r="J20" s="24" t="str">
        <f t="shared" si="20"/>
        <v>---------- - Štěpánek Ondřej</v>
      </c>
      <c r="K20" s="24" t="str">
        <f t="shared" si="21"/>
        <v/>
      </c>
      <c r="M20" s="121" t="str">
        <f>CONCATENATE("1.st. ",úvod!$C$8," - ",M17)</f>
        <v>1.st. U19 - muži Skupina C</v>
      </c>
      <c r="N20" s="121">
        <f>A22</f>
        <v>0</v>
      </c>
      <c r="O20" s="121" t="str">
        <f>IF($N20=0,"----------",VLOOKUP($N20,sez!$A$2:$C$258,2))</f>
        <v>----------</v>
      </c>
      <c r="P20" s="121" t="str">
        <f>IF($N20=0,"",VLOOKUP($N20,sez!$A$2:$D$258,4))</f>
        <v/>
      </c>
      <c r="Q20" s="121">
        <f>A21</f>
        <v>9</v>
      </c>
      <c r="R20" s="121" t="str">
        <f>IF($Q20=0,"----------",VLOOKUP($Q20,sez!$A$2:$C$258,2))</f>
        <v>Štěpánek Ondřej</v>
      </c>
      <c r="S20" s="121" t="str">
        <f>IF($Q20=0,"",VLOOKUP($Q20,sez!$A$2:$D$258,4))</f>
        <v>KST Blansko</v>
      </c>
      <c r="T20" s="56"/>
      <c r="U20" s="57"/>
      <c r="V20" s="57"/>
      <c r="W20" s="57"/>
      <c r="X20" s="58"/>
      <c r="Y20" s="24">
        <f t="shared" si="22"/>
        <v>0</v>
      </c>
      <c r="Z20" s="24">
        <f t="shared" si="23"/>
        <v>0</v>
      </c>
      <c r="AA20" s="24">
        <f t="shared" si="24"/>
        <v>0</v>
      </c>
      <c r="AB20" s="24" t="str">
        <f>IF($AA20=0,"",VLOOKUP($AA20,sez!$A$2:$C$258,2))</f>
        <v/>
      </c>
      <c r="AC20" s="24" t="str">
        <f t="shared" si="25"/>
        <v/>
      </c>
      <c r="AD20" s="24" t="str">
        <f t="shared" si="26"/>
        <v/>
      </c>
      <c r="AE20" s="122">
        <f t="shared" si="27"/>
        <v>0</v>
      </c>
      <c r="AF20" s="122">
        <f t="shared" si="28"/>
        <v>0</v>
      </c>
      <c r="AH20" s="122">
        <f t="shared" si="29"/>
        <v>0</v>
      </c>
      <c r="AI20" s="122">
        <f t="shared" si="29"/>
        <v>0</v>
      </c>
      <c r="AJ20" s="122">
        <f t="shared" si="29"/>
        <v>0</v>
      </c>
      <c r="AK20" s="122">
        <f t="shared" si="29"/>
        <v>0</v>
      </c>
      <c r="AL20" s="122">
        <f t="shared" si="29"/>
        <v>0</v>
      </c>
      <c r="AN20" s="24" t="str">
        <f>CONCATENATE("&lt;/Table&gt;&lt;TD width=420&gt;&lt;Table&gt;")</f>
        <v>&lt;/Table&gt;&lt;TD width=420&gt;&lt;Table&gt;</v>
      </c>
      <c r="AO20" s="24" t="str">
        <f>CONCATENATE("&lt;TR&gt;&lt;TD&gt;",A20,"&lt;TD width=200&gt;",B20,"&lt;TD&gt;",C20,"&lt;TD&gt;",D20,"&lt;TD&gt;",E20,"&lt;TD&gt;",F20,"&lt;TD&gt;",G20,"&lt;TD&gt;",H20,"&lt;/TD&gt;&lt;/TR&gt;")</f>
        <v>&lt;TR&gt;&lt;TD&gt;20&lt;TD width=200&gt;Ševčík Ondřej (Velké Opatovice)&lt;TD&gt;0:3&lt;TD&gt;XXX&lt;TD&gt;0:4&lt;TD&gt;&lt;TD&gt;2&lt;TD&gt;3&lt;/TD&gt;&lt;/TR&gt;</v>
      </c>
      <c r="AP20" s="24" t="str">
        <f>CONCATENATE("&lt;TR&gt;&lt;TD&gt;",J20,"&lt;TD&gt;",K20,"&lt;/TD&gt;&lt;/TR&gt;")</f>
        <v>&lt;TR&gt;&lt;TD&gt;---------- - Štěpánek Ondřej&lt;TD&gt;&lt;/TD&gt;&lt;/TR&gt;</v>
      </c>
    </row>
    <row r="21" spans="1:42" ht="16.5" customHeight="1" x14ac:dyDescent="0.2">
      <c r="A21" s="117">
        <v>9</v>
      </c>
      <c r="B21" s="31" t="str">
        <f>IF($A21="","",CONCATENATE(VLOOKUP($A21,sez!$A$2:$B$258,2)," (",VLOOKUP($A21,sez!$A$2:$E$259,4),")"))</f>
        <v>Štěpánek Ondřej (KST Blansko)</v>
      </c>
      <c r="C21" s="35" t="str">
        <f>IF(Y23+Z23=0,"",CONCATENATE(Y23,":",Z23))</f>
        <v>0:3</v>
      </c>
      <c r="D21" s="27" t="str">
        <f>IF(Y19+Z19=0,"",CONCATENATE(Z19,":",Y19))</f>
        <v>4:0</v>
      </c>
      <c r="E21" s="27" t="s">
        <v>23</v>
      </c>
      <c r="F21" s="28" t="str">
        <f>IF(Y20+Z20=0,"",CONCATENATE(Z20,":",Y20))</f>
        <v/>
      </c>
      <c r="G21" s="33">
        <f>IF(AF19+AF20+AE23=0,"",AF19+AF20+AE23)</f>
        <v>3</v>
      </c>
      <c r="H21" s="114">
        <v>2</v>
      </c>
      <c r="I21" s="25"/>
      <c r="J21" s="24" t="str">
        <f t="shared" si="20"/>
        <v>Luska Petr - Ševčík Ondřej</v>
      </c>
      <c r="K21" s="24" t="str">
        <f t="shared" si="21"/>
        <v>3 : 0 (8,8,4)</v>
      </c>
      <c r="M21" s="121" t="str">
        <f>CONCATENATE("1.st. ",úvod!$C$8," - ",M17)</f>
        <v>1.st. U19 - muži Skupina C</v>
      </c>
      <c r="N21" s="121">
        <f>A19</f>
        <v>4</v>
      </c>
      <c r="O21" s="121" t="str">
        <f>IF($N21=0,"----------",VLOOKUP($N21,sez!$A$2:$C$258,2))</f>
        <v>Luska Petr</v>
      </c>
      <c r="P21" s="121" t="str">
        <f>IF($N21=0,"",VLOOKUP($N21,sez!$A$2:$D$258,4))</f>
        <v>KST Vyškov</v>
      </c>
      <c r="Q21" s="121">
        <f>A20</f>
        <v>20</v>
      </c>
      <c r="R21" s="121" t="str">
        <f>IF($Q21=0,"----------",VLOOKUP($Q21,sez!$A$2:$C$258,2))</f>
        <v>Ševčík Ondřej</v>
      </c>
      <c r="S21" s="121" t="str">
        <f>IF($Q21=0,"",VLOOKUP($Q21,sez!$A$2:$D$258,4))</f>
        <v>Velké Opatovice</v>
      </c>
      <c r="T21" s="56" t="s">
        <v>82</v>
      </c>
      <c r="U21" s="57" t="s">
        <v>82</v>
      </c>
      <c r="V21" s="57" t="s">
        <v>86</v>
      </c>
      <c r="W21" s="57"/>
      <c r="X21" s="58"/>
      <c r="Y21" s="24">
        <f t="shared" si="22"/>
        <v>3</v>
      </c>
      <c r="Z21" s="24">
        <f t="shared" si="23"/>
        <v>0</v>
      </c>
      <c r="AA21" s="24">
        <f t="shared" si="24"/>
        <v>4</v>
      </c>
      <c r="AB21" s="24" t="str">
        <f>IF($AA21=0,"",VLOOKUP($AA21,sez!$A$2:$C$258,2))</f>
        <v>Luska Petr</v>
      </c>
      <c r="AC21" s="24" t="str">
        <f t="shared" si="25"/>
        <v>3:0 (8,8,4)</v>
      </c>
      <c r="AD21" s="24" t="str">
        <f t="shared" si="26"/>
        <v>3:0 (8,8,4)</v>
      </c>
      <c r="AE21" s="122">
        <f t="shared" si="27"/>
        <v>2</v>
      </c>
      <c r="AF21" s="122">
        <f t="shared" si="28"/>
        <v>1</v>
      </c>
      <c r="AH21" s="122">
        <f t="shared" si="29"/>
        <v>1</v>
      </c>
      <c r="AI21" s="122">
        <f t="shared" si="29"/>
        <v>1</v>
      </c>
      <c r="AJ21" s="122">
        <f t="shared" si="29"/>
        <v>1</v>
      </c>
      <c r="AK21" s="122">
        <f t="shared" si="29"/>
        <v>0</v>
      </c>
      <c r="AL21" s="122">
        <f t="shared" si="29"/>
        <v>0</v>
      </c>
      <c r="AN21" s="24" t="str">
        <f>CONCATENATE(AP18,AP19,AP20,AP21,AP22,AP23,)</f>
        <v>&lt;TR&gt;&lt;TD width=250&gt;Luska Petr - ----------&lt;TD&gt;&lt;/TD&gt;&lt;/TR&gt;&lt;TR&gt;&lt;TD&gt;Ševčík Ondřej - Štěpánek Ondřej&lt;TD&gt;0 : 4 (-9,-9,-7,-7)&lt;/TD&gt;&lt;/TR&gt;&lt;TR&gt;&lt;TD&gt;---------- - Štěpánek Ondřej&lt;TD&gt;&lt;/TD&gt;&lt;/TR&gt;&lt;TR&gt;&lt;TD&gt;Luska Petr - Ševčík Ondřej&lt;TD&gt;3 : 0 (8,8,4)&lt;/TD&gt;&lt;/TR&gt;&lt;TR&gt;&lt;TD&gt;Ševčík Ondřej - ----------&lt;TD&gt;&lt;/TD&gt;&lt;/TR&gt;&lt;TR&gt;&lt;TD&gt;Štěpánek Ondřej - Luska Petr&lt;TD&gt;0 : 3 (-9,-12,-5)&lt;/TD&gt;&lt;/TR&gt;</v>
      </c>
      <c r="AO21" s="24" t="str">
        <f>CONCATENATE("&lt;TR&gt;&lt;TD&gt;",A21,"&lt;TD width=200&gt;",B21,"&lt;TD&gt;",C21,"&lt;TD&gt;",D21,"&lt;TD&gt;",E21,"&lt;TD&gt;",F21,"&lt;TD&gt;",G21,"&lt;TD&gt;",H21,"&lt;/TD&gt;&lt;/TR&gt;")</f>
        <v>&lt;TR&gt;&lt;TD&gt;9&lt;TD width=200&gt;Štěpánek Ondřej (KST Blansko)&lt;TD&gt;0:3&lt;TD&gt;4:0&lt;TD&gt;XXX&lt;TD&gt;&lt;TD&gt;3&lt;TD&gt;2&lt;/TD&gt;&lt;/TR&gt;</v>
      </c>
      <c r="AP21" s="24" t="str">
        <f>CONCATENATE("&lt;TR&gt;&lt;TD&gt;",J21,"&lt;TD&gt;",K21,"&lt;/TD&gt;&lt;/TR&gt;")</f>
        <v>&lt;TR&gt;&lt;TD&gt;Luska Petr - Ševčík Ondřej&lt;TD&gt;3 : 0 (8,8,4)&lt;/TD&gt;&lt;/TR&gt;</v>
      </c>
    </row>
    <row r="22" spans="1:42" ht="16.5" customHeight="1" thickBot="1" x14ac:dyDescent="0.25">
      <c r="A22" s="118"/>
      <c r="B22" s="32" t="str">
        <f>IF($A22="","",CONCATENATE(VLOOKUP($A22,sez!$A$2:$B$258,2)," (",VLOOKUP($A22,sez!$A$2:$E$259,4),")"))</f>
        <v/>
      </c>
      <c r="C22" s="36" t="str">
        <f>IF(Y18+Z18=0,"",CONCATENATE(Z18,":",Y18))</f>
        <v/>
      </c>
      <c r="D22" s="29" t="str">
        <f>IF(Y22+Z22=0,"",CONCATENATE(Z22,":",Y22))</f>
        <v/>
      </c>
      <c r="E22" s="29" t="str">
        <f>IF(Y20+Z20=0,"",CONCATENATE(Y20,":",Z20))</f>
        <v/>
      </c>
      <c r="F22" s="30" t="s">
        <v>23</v>
      </c>
      <c r="G22" s="34" t="str">
        <f>IF(AF18+AE20+AF22=0,"",AF18+AE20+AF22)</f>
        <v/>
      </c>
      <c r="H22" s="115"/>
      <c r="I22" s="25"/>
      <c r="J22" s="24" t="str">
        <f t="shared" si="20"/>
        <v>Ševčík Ondřej - ----------</v>
      </c>
      <c r="K22" s="24" t="str">
        <f t="shared" si="21"/>
        <v/>
      </c>
      <c r="M22" s="121" t="str">
        <f>CONCATENATE("1.st. ",úvod!$C$8," - ",M17)</f>
        <v>1.st. U19 - muži Skupina C</v>
      </c>
      <c r="N22" s="121">
        <f>A20</f>
        <v>20</v>
      </c>
      <c r="O22" s="121" t="str">
        <f>IF($N22=0,"----------",VLOOKUP($N22,sez!$A$2:$C$258,2))</f>
        <v>Ševčík Ondřej</v>
      </c>
      <c r="P22" s="121" t="str">
        <f>IF($N22=0,"",VLOOKUP($N22,sez!$A$2:$D$258,4))</f>
        <v>Velké Opatovice</v>
      </c>
      <c r="Q22" s="121">
        <f>A22</f>
        <v>0</v>
      </c>
      <c r="R22" s="121" t="str">
        <f>IF($Q22=0,"----------",VLOOKUP($Q22,sez!$A$2:$C$258,2))</f>
        <v>----------</v>
      </c>
      <c r="S22" s="121" t="str">
        <f>IF($Q22=0,"",VLOOKUP($Q22,sez!$A$2:$D$258,4))</f>
        <v/>
      </c>
      <c r="T22" s="56"/>
      <c r="U22" s="57"/>
      <c r="V22" s="57"/>
      <c r="W22" s="57"/>
      <c r="X22" s="58"/>
      <c r="Y22" s="24">
        <f t="shared" si="22"/>
        <v>0</v>
      </c>
      <c r="Z22" s="24">
        <f t="shared" si="23"/>
        <v>0</v>
      </c>
      <c r="AA22" s="24">
        <f t="shared" si="24"/>
        <v>0</v>
      </c>
      <c r="AB22" s="24" t="str">
        <f>IF($AA22=0,"",VLOOKUP($AA22,sez!$A$2:$C$258,2))</f>
        <v/>
      </c>
      <c r="AC22" s="24" t="str">
        <f t="shared" si="25"/>
        <v/>
      </c>
      <c r="AD22" s="24" t="str">
        <f t="shared" si="26"/>
        <v/>
      </c>
      <c r="AE22" s="122">
        <f t="shared" si="27"/>
        <v>0</v>
      </c>
      <c r="AF22" s="122">
        <f t="shared" si="28"/>
        <v>0</v>
      </c>
      <c r="AH22" s="122">
        <f t="shared" si="29"/>
        <v>0</v>
      </c>
      <c r="AI22" s="122">
        <f t="shared" si="29"/>
        <v>0</v>
      </c>
      <c r="AJ22" s="122">
        <f t="shared" si="29"/>
        <v>0</v>
      </c>
      <c r="AK22" s="122">
        <f t="shared" si="29"/>
        <v>0</v>
      </c>
      <c r="AL22" s="122">
        <f t="shared" si="29"/>
        <v>0</v>
      </c>
      <c r="AN22" s="24" t="str">
        <f>CONCATENATE("&lt;/Table&gt;&lt;/TD&gt;&lt;/TR&gt;&lt;/Table&gt;&lt;P&gt;")</f>
        <v>&lt;/Table&gt;&lt;/TD&gt;&lt;/TR&gt;&lt;/Table&gt;&lt;P&gt;</v>
      </c>
      <c r="AO22" s="24" t="str">
        <f>CONCATENATE("&lt;TR&gt;&lt;TD&gt;",A22,"&lt;TD width=200&gt;",B22,"&lt;TD&gt;",C22,"&lt;TD&gt;",D22,"&lt;TD&gt;",E22,"&lt;TD&gt;",F22,"&lt;TD&gt;",G22,"&lt;TD&gt;",H22,"&lt;/TD&gt;&lt;/TR&gt;")</f>
        <v>&lt;TR&gt;&lt;TD&gt;&lt;TD width=200&gt;&lt;TD&gt;&lt;TD&gt;&lt;TD&gt;&lt;TD&gt;XXX&lt;TD&gt;&lt;TD&gt;&lt;/TD&gt;&lt;/TR&gt;</v>
      </c>
      <c r="AP22" s="24" t="str">
        <f>CONCATENATE("&lt;TR&gt;&lt;TD&gt;",J22,"&lt;TD&gt;",K22,"&lt;/TD&gt;&lt;/TR&gt;")</f>
        <v>&lt;TR&gt;&lt;TD&gt;Ševčík Ondřej - ----------&lt;TD&gt;&lt;/TD&gt;&lt;/TR&gt;</v>
      </c>
    </row>
    <row r="23" spans="1:42" ht="16.5" customHeight="1" thickTop="1" thickBot="1" x14ac:dyDescent="0.25">
      <c r="I23" s="25"/>
      <c r="J23" s="24" t="str">
        <f t="shared" si="20"/>
        <v>Štěpánek Ondřej - Luska Petr</v>
      </c>
      <c r="K23" s="24" t="str">
        <f t="shared" si="21"/>
        <v>0 : 3 (-9,-12,-5)</v>
      </c>
      <c r="M23" s="121" t="str">
        <f>CONCATENATE("1.st. ",úvod!$C$8," - ",M17)</f>
        <v>1.st. U19 - muži Skupina C</v>
      </c>
      <c r="N23" s="121">
        <f>A21</f>
        <v>9</v>
      </c>
      <c r="O23" s="121" t="str">
        <f>IF($N23=0,"----------",VLOOKUP($N23,sez!$A$2:$C$258,2))</f>
        <v>Štěpánek Ondřej</v>
      </c>
      <c r="P23" s="121" t="str">
        <f>IF($N23=0,"",VLOOKUP($N23,sez!$A$2:$D$258,4))</f>
        <v>KST Blansko</v>
      </c>
      <c r="Q23" s="121">
        <f>A19</f>
        <v>4</v>
      </c>
      <c r="R23" s="121" t="str">
        <f>IF($Q23=0,"----------",VLOOKUP($Q23,sez!$A$2:$C$258,2))</f>
        <v>Luska Petr</v>
      </c>
      <c r="S23" s="121" t="str">
        <f>IF($Q23=0,"",VLOOKUP($Q23,sez!$A$2:$D$258,4))</f>
        <v>KST Vyškov</v>
      </c>
      <c r="T23" s="59" t="s">
        <v>75</v>
      </c>
      <c r="U23" s="60" t="s">
        <v>93</v>
      </c>
      <c r="V23" s="60" t="s">
        <v>80</v>
      </c>
      <c r="W23" s="60"/>
      <c r="X23" s="61"/>
      <c r="Y23" s="24">
        <f t="shared" si="22"/>
        <v>0</v>
      </c>
      <c r="Z23" s="24">
        <f t="shared" si="23"/>
        <v>3</v>
      </c>
      <c r="AA23" s="24">
        <f t="shared" si="24"/>
        <v>4</v>
      </c>
      <c r="AB23" s="24" t="str">
        <f>IF($AA23=0,"",VLOOKUP($AA23,sez!$A$2:$C$258,2))</f>
        <v>Luska Petr</v>
      </c>
      <c r="AC23" s="24" t="str">
        <f t="shared" si="25"/>
        <v>3:0 (9,12,5)</v>
      </c>
      <c r="AD23" s="24" t="str">
        <f t="shared" si="26"/>
        <v>3:0 (9,12,5)</v>
      </c>
      <c r="AE23" s="122">
        <f t="shared" si="27"/>
        <v>1</v>
      </c>
      <c r="AF23" s="122">
        <f t="shared" si="28"/>
        <v>2</v>
      </c>
      <c r="AH23" s="122">
        <f t="shared" si="29"/>
        <v>-1</v>
      </c>
      <c r="AI23" s="122">
        <f t="shared" si="29"/>
        <v>-1</v>
      </c>
      <c r="AJ23" s="122">
        <f t="shared" si="29"/>
        <v>-1</v>
      </c>
      <c r="AK23" s="122">
        <f t="shared" si="29"/>
        <v>0</v>
      </c>
      <c r="AL23" s="122">
        <f t="shared" si="29"/>
        <v>0</v>
      </c>
      <c r="AP23" s="24" t="str">
        <f>CONCATENATE("&lt;TR&gt;&lt;TD&gt;",J23,"&lt;TD&gt;",K23,"&lt;/TD&gt;&lt;/TR&gt;")</f>
        <v>&lt;TR&gt;&lt;TD&gt;Štěpánek Ondřej - Luska Petr&lt;TD&gt;0 : 3 (-9,-12,-5)&lt;/TD&gt;&lt;/TR&gt;</v>
      </c>
    </row>
    <row r="24" spans="1:42" ht="16.5" customHeight="1" thickTop="1" thickBot="1" x14ac:dyDescent="0.25">
      <c r="I24" s="25"/>
      <c r="M24" s="25" t="str">
        <f>B25</f>
        <v>muži Skupina D</v>
      </c>
      <c r="N24" s="25" t="s">
        <v>0</v>
      </c>
      <c r="O24" s="25" t="s">
        <v>1</v>
      </c>
      <c r="P24" s="25" t="s">
        <v>2</v>
      </c>
      <c r="Q24" s="25" t="s">
        <v>0</v>
      </c>
      <c r="R24" s="25" t="s">
        <v>3</v>
      </c>
      <c r="S24" s="25" t="s">
        <v>2</v>
      </c>
      <c r="T24" s="26" t="s">
        <v>4</v>
      </c>
      <c r="U24" s="26" t="s">
        <v>5</v>
      </c>
      <c r="V24" s="26" t="s">
        <v>6</v>
      </c>
      <c r="W24" s="26" t="s">
        <v>7</v>
      </c>
      <c r="X24" s="26" t="s">
        <v>8</v>
      </c>
      <c r="Y24" s="25" t="s">
        <v>9</v>
      </c>
      <c r="Z24" s="25" t="s">
        <v>10</v>
      </c>
      <c r="AA24" s="25" t="s">
        <v>11</v>
      </c>
      <c r="AN24" s="24" t="s">
        <v>18</v>
      </c>
    </row>
    <row r="25" spans="1:42" ht="16.5" customHeight="1" thickTop="1" thickBot="1" x14ac:dyDescent="0.25">
      <c r="A25" s="42"/>
      <c r="B25" s="43" t="s">
        <v>101</v>
      </c>
      <c r="C25" s="44">
        <v>1</v>
      </c>
      <c r="D25" s="45">
        <v>2</v>
      </c>
      <c r="E25" s="45">
        <v>3</v>
      </c>
      <c r="F25" s="46">
        <v>4</v>
      </c>
      <c r="G25" s="47" t="s">
        <v>16</v>
      </c>
      <c r="H25" s="46" t="s">
        <v>17</v>
      </c>
      <c r="I25" s="25"/>
      <c r="J25" s="24" t="str">
        <f t="shared" ref="J25:J30" si="30">CONCATENATE(O25," - ",R25)</f>
        <v>Drápal Metoděj - ----------</v>
      </c>
      <c r="K25" s="24" t="str">
        <f t="shared" ref="K25:K30" si="31">IF(SUM(Y25:Z25)=0,AD25,CONCATENATE(Y25," : ",Z25," (",T25,",",U25,",",V25,IF(Y25+Z25&gt;3,",",""),W25,IF(Y25+Z25&gt;4,",",""),X25,")"))</f>
        <v/>
      </c>
      <c r="M25" s="121" t="str">
        <f>CONCATENATE("1.st. ",úvod!$C$8," - ",M24)</f>
        <v>1.st. U19 - muži Skupina D</v>
      </c>
      <c r="N25" s="121">
        <f>A26</f>
        <v>5</v>
      </c>
      <c r="O25" s="121" t="str">
        <f>IF($N25=0,"----------",VLOOKUP($N25,sez!$A$2:$C$258,2))</f>
        <v>Drápal Metoděj</v>
      </c>
      <c r="P25" s="121" t="str">
        <f>IF($N25=0,"",VLOOKUP($N25,sez!$A$2:$D$258,4))</f>
        <v>MS Brno</v>
      </c>
      <c r="Q25" s="121">
        <f>A29</f>
        <v>0</v>
      </c>
      <c r="R25" s="121" t="str">
        <f>IF($Q25=0,"----------",VLOOKUP($Q25,sez!$A$2:$C$258,2))</f>
        <v>----------</v>
      </c>
      <c r="S25" s="121" t="str">
        <f>IF($Q25=0,"",VLOOKUP($Q25,sez!$A$2:$D$258,4))</f>
        <v/>
      </c>
      <c r="T25" s="53"/>
      <c r="U25" s="54"/>
      <c r="V25" s="54"/>
      <c r="W25" s="54"/>
      <c r="X25" s="55"/>
      <c r="Y25" s="24">
        <f t="shared" ref="Y25:Y30" si="32">COUNTIF(AH25:AL25,"&gt;0")</f>
        <v>0</v>
      </c>
      <c r="Z25" s="24">
        <f t="shared" ref="Z25:Z30" si="33">COUNTIF(AH25:AL25,"&lt;0")</f>
        <v>0</v>
      </c>
      <c r="AA25" s="24">
        <f t="shared" ref="AA25:AA30" si="34">IF(Y25=Z25,0,IF(Y25&gt;Z25,N25,Q25))</f>
        <v>0</v>
      </c>
      <c r="AB25" s="24" t="str">
        <f>IF($AA25=0,"",VLOOKUP($AA25,sez!$A$2:$C$258,2))</f>
        <v/>
      </c>
      <c r="AC25" s="24" t="str">
        <f t="shared" ref="AC25:AC30" si="35">IF(Y25=Z25,"",IF(Y25&gt;Z25,CONCATENATE(Y25,":",Z25," (",T25,",",U25,",",V25,IF(SUM(Y25:Z25)&gt;3,",",""),W25,IF(SUM(Y25:Z25)&gt;4,",",""),X25,")"),CONCATENATE(Z25,":",Y25," (",-T25,",",-U25,",",-V25,IF(SUM(Y25:Z25)&gt;3,CONCATENATE(",",-W25),""),IF(SUM(Y25:Z25)&gt;4,CONCATENATE(",",-X25),""),")")))</f>
        <v/>
      </c>
      <c r="AD25" s="24" t="str">
        <f t="shared" ref="AD25:AD30" si="36">IF(SUM(Y25:Z25)=0,"",AC25)</f>
        <v/>
      </c>
      <c r="AE25" s="122">
        <f t="shared" ref="AE25:AE30" si="37">IF(T25="",0,IF(Y25&gt;Z25,2,1))</f>
        <v>0</v>
      </c>
      <c r="AF25" s="122">
        <f t="shared" ref="AF25:AF30" si="38">IF(T25="",0,IF(Z25&gt;Y25,2,1))</f>
        <v>0</v>
      </c>
      <c r="AH25" s="122">
        <f t="shared" ref="AH25:AL30" si="39">IF(T25="",0,IF(MID(T25,1,1)="-",-1,1))</f>
        <v>0</v>
      </c>
      <c r="AI25" s="122">
        <f t="shared" si="39"/>
        <v>0</v>
      </c>
      <c r="AJ25" s="122">
        <f t="shared" si="39"/>
        <v>0</v>
      </c>
      <c r="AK25" s="122">
        <f t="shared" si="39"/>
        <v>0</v>
      </c>
      <c r="AL25" s="122">
        <f t="shared" si="39"/>
        <v>0</v>
      </c>
      <c r="AN25" s="24" t="str">
        <f>CONCATENATE("&lt;Table border=1 cellpading=0 cellspacing=0 width=480&gt;&lt;TR&gt;&lt;TH colspan=2&gt;",B25,"&lt;TH&gt;1&lt;TH&gt;2&lt;TH&gt;3&lt;TH&gt;4&lt;TH&gt;Body&lt;TH&gt;Pořadí&lt;/TH&gt;&lt;/TR&gt;")</f>
        <v>&lt;Table border=1 cellpading=0 cellspacing=0 width=480&gt;&lt;TR&gt;&lt;TH colspan=2&gt;muži Skupina D&lt;TH&gt;1&lt;TH&gt;2&lt;TH&gt;3&lt;TH&gt;4&lt;TH&gt;Body&lt;TH&gt;Pořadí&lt;/TH&gt;&lt;/TR&gt;</v>
      </c>
      <c r="AP25" s="24" t="str">
        <f>CONCATENATE("&lt;TR&gt;&lt;TD width=250&gt;",J25,"&lt;TD&gt;",K25,"&lt;/TD&gt;&lt;/TR&gt;")</f>
        <v>&lt;TR&gt;&lt;TD width=250&gt;Drápal Metoděj - ----------&lt;TD&gt;&lt;/TD&gt;&lt;/TR&gt;</v>
      </c>
    </row>
    <row r="26" spans="1:42" ht="16.5" customHeight="1" thickTop="1" x14ac:dyDescent="0.2">
      <c r="A26" s="116">
        <v>5</v>
      </c>
      <c r="B26" s="37" t="str">
        <f>IF($A26="","",CONCATENATE(VLOOKUP($A26,sez!$A$2:$B$258,2)," (",VLOOKUP($A26,sez!$A$2:$E$259,4),")"))</f>
        <v>Drápal Metoděj (MS Brno)</v>
      </c>
      <c r="C26" s="38" t="s">
        <v>23</v>
      </c>
      <c r="D26" s="39" t="str">
        <f>IF(Y28+Z28=0,"",CONCATENATE(Y28,":",Z28))</f>
        <v>3:0</v>
      </c>
      <c r="E26" s="39" t="str">
        <f>IF(Y30+Z30=0,"",CONCATENATE(Z30,":",Y30))</f>
        <v>1:3</v>
      </c>
      <c r="F26" s="40" t="str">
        <f>IF(Y25+Z25=0,"",CONCATENATE(Y25,":",Z25))</f>
        <v/>
      </c>
      <c r="G26" s="41">
        <f>IF(AE25+AE28+AF30=0,"",AE25+AE28+AF30)</f>
        <v>3</v>
      </c>
      <c r="H26" s="113">
        <v>2</v>
      </c>
      <c r="I26" s="25"/>
      <c r="J26" s="24" t="str">
        <f t="shared" si="30"/>
        <v>Wutka Michal - Vincenec Oliver</v>
      </c>
      <c r="K26" s="24" t="str">
        <f t="shared" si="31"/>
        <v>0 : 3 (-2,-5,-4)</v>
      </c>
      <c r="M26" s="121" t="str">
        <f>CONCATENATE("1.st. ",úvod!$C$8," - ",M24)</f>
        <v>1.st. U19 - muži Skupina D</v>
      </c>
      <c r="N26" s="121">
        <f>A27</f>
        <v>27</v>
      </c>
      <c r="O26" s="121" t="str">
        <f>IF($N26=0,"----------",VLOOKUP($N26,sez!$A$2:$C$258,2))</f>
        <v>Wutka Michal</v>
      </c>
      <c r="P26" s="121" t="str">
        <f>IF($N26=0,"",VLOOKUP($N26,sez!$A$2:$D$258,4))</f>
        <v>KST Blansko</v>
      </c>
      <c r="Q26" s="121">
        <f>A28</f>
        <v>10</v>
      </c>
      <c r="R26" s="121" t="str">
        <f>IF($Q26=0,"----------",VLOOKUP($Q26,sez!$A$2:$C$258,2))</f>
        <v>Vincenec Oliver</v>
      </c>
      <c r="S26" s="121" t="str">
        <f>IF($Q26=0,"",VLOOKUP($Q26,sez!$A$2:$D$258,4))</f>
        <v>KST Vyškov</v>
      </c>
      <c r="T26" s="56" t="s">
        <v>74</v>
      </c>
      <c r="U26" s="57" t="s">
        <v>80</v>
      </c>
      <c r="V26" s="57" t="s">
        <v>73</v>
      </c>
      <c r="W26" s="57"/>
      <c r="X26" s="58"/>
      <c r="Y26" s="24">
        <f t="shared" si="32"/>
        <v>0</v>
      </c>
      <c r="Z26" s="24">
        <f t="shared" si="33"/>
        <v>3</v>
      </c>
      <c r="AA26" s="24">
        <f t="shared" si="34"/>
        <v>10</v>
      </c>
      <c r="AB26" s="24" t="str">
        <f>IF($AA26=0,"",VLOOKUP($AA26,sez!$A$2:$C$258,2))</f>
        <v>Vincenec Oliver</v>
      </c>
      <c r="AC26" s="24" t="str">
        <f t="shared" si="35"/>
        <v>3:0 (2,5,4)</v>
      </c>
      <c r="AD26" s="24" t="str">
        <f t="shared" si="36"/>
        <v>3:0 (2,5,4)</v>
      </c>
      <c r="AE26" s="122">
        <f t="shared" si="37"/>
        <v>1</v>
      </c>
      <c r="AF26" s="122">
        <f t="shared" si="38"/>
        <v>2</v>
      </c>
      <c r="AH26" s="122">
        <f t="shared" si="39"/>
        <v>-1</v>
      </c>
      <c r="AI26" s="122">
        <f t="shared" si="39"/>
        <v>-1</v>
      </c>
      <c r="AJ26" s="122">
        <f t="shared" si="39"/>
        <v>-1</v>
      </c>
      <c r="AK26" s="122">
        <f t="shared" si="39"/>
        <v>0</v>
      </c>
      <c r="AL26" s="122">
        <f t="shared" si="39"/>
        <v>0</v>
      </c>
      <c r="AN26" s="24" t="str">
        <f>CONCATENATE(AO26,AO27,AO28,AO29,)</f>
        <v>&lt;TR&gt;&lt;TD&gt;5&lt;TD width=200&gt;Drápal Metoděj (MS Brno)&lt;TD&gt;XXX&lt;TD&gt;3:0&lt;TD&gt;1:3&lt;TD&gt;&lt;TD&gt;3&lt;TD&gt;2&lt;/TD&gt;&lt;/TR&gt;&lt;TR&gt;&lt;TD&gt;27&lt;TD width=200&gt;Wutka Michal (KST Blansko)&lt;TD&gt;0:3&lt;TD&gt;XXX&lt;TD&gt;0:3&lt;TD&gt;&lt;TD&gt;2&lt;TD&gt;3&lt;/TD&gt;&lt;/TR&gt;&lt;TR&gt;&lt;TD&gt;10&lt;TD width=200&gt;Vincenec Oliver (KST Vyškov)&lt;TD&gt;3:1&lt;TD&gt;3:0&lt;TD&gt;XXX&lt;TD&gt;&lt;TD&gt;4&lt;TD&gt;1&lt;/TD&gt;&lt;/TR&gt;&lt;TR&gt;&lt;TD&gt;&lt;TD width=200&gt;&lt;TD&gt;&lt;TD&gt;&lt;TD&gt;&lt;TD&gt;XXX&lt;TD&gt;&lt;TD&gt;&lt;/TD&gt;&lt;/TR&gt;</v>
      </c>
      <c r="AO26" s="24" t="str">
        <f>CONCATENATE("&lt;TR&gt;&lt;TD&gt;",A26,"&lt;TD width=200&gt;",B26,"&lt;TD&gt;",C26,"&lt;TD&gt;",D26,"&lt;TD&gt;",E26,"&lt;TD&gt;",F26,"&lt;TD&gt;",G26,"&lt;TD&gt;",H26,"&lt;/TD&gt;&lt;/TR&gt;")</f>
        <v>&lt;TR&gt;&lt;TD&gt;5&lt;TD width=200&gt;Drápal Metoděj (MS Brno)&lt;TD&gt;XXX&lt;TD&gt;3:0&lt;TD&gt;1:3&lt;TD&gt;&lt;TD&gt;3&lt;TD&gt;2&lt;/TD&gt;&lt;/TR&gt;</v>
      </c>
      <c r="AP26" s="24" t="str">
        <f>CONCATENATE("&lt;TR&gt;&lt;TD&gt;",J26,"&lt;TD&gt;",K26,"&lt;/TD&gt;&lt;/TR&gt;")</f>
        <v>&lt;TR&gt;&lt;TD&gt;Wutka Michal - Vincenec Oliver&lt;TD&gt;0 : 3 (-2,-5,-4)&lt;/TD&gt;&lt;/TR&gt;</v>
      </c>
    </row>
    <row r="27" spans="1:42" ht="16.5" customHeight="1" x14ac:dyDescent="0.2">
      <c r="A27" s="117">
        <v>27</v>
      </c>
      <c r="B27" s="31" t="str">
        <f>IF($A27="","",CONCATENATE(VLOOKUP($A27,sez!$A$2:$B$258,2)," (",VLOOKUP($A27,sez!$A$2:$E$259,4),")"))</f>
        <v>Wutka Michal (KST Blansko)</v>
      </c>
      <c r="C27" s="35" t="str">
        <f>IF(Y28+Z28=0,"",CONCATENATE(Z28,":",Y28))</f>
        <v>0:3</v>
      </c>
      <c r="D27" s="27" t="s">
        <v>23</v>
      </c>
      <c r="E27" s="27" t="str">
        <f>IF(Y26+Z26=0,"",CONCATENATE(Y26,":",Z26))</f>
        <v>0:3</v>
      </c>
      <c r="F27" s="28" t="str">
        <f>IF(Y29+Z29=0,"",CONCATENATE(Y29,":",Z29))</f>
        <v/>
      </c>
      <c r="G27" s="33">
        <f>IF(AE26+AF28+AE29=0,"",AE26+AF28+AE29)</f>
        <v>2</v>
      </c>
      <c r="H27" s="114">
        <v>3</v>
      </c>
      <c r="I27" s="25"/>
      <c r="J27" s="24" t="str">
        <f t="shared" si="30"/>
        <v>---------- - Vincenec Oliver</v>
      </c>
      <c r="K27" s="24" t="str">
        <f t="shared" si="31"/>
        <v/>
      </c>
      <c r="M27" s="121" t="str">
        <f>CONCATENATE("1.st. ",úvod!$C$8," - ",M24)</f>
        <v>1.st. U19 - muži Skupina D</v>
      </c>
      <c r="N27" s="121">
        <f>A29</f>
        <v>0</v>
      </c>
      <c r="O27" s="121" t="str">
        <f>IF($N27=0,"----------",VLOOKUP($N27,sez!$A$2:$C$258,2))</f>
        <v>----------</v>
      </c>
      <c r="P27" s="121" t="str">
        <f>IF($N27=0,"",VLOOKUP($N27,sez!$A$2:$D$258,4))</f>
        <v/>
      </c>
      <c r="Q27" s="121">
        <f>A28</f>
        <v>10</v>
      </c>
      <c r="R27" s="121" t="str">
        <f>IF($Q27=0,"----------",VLOOKUP($Q27,sez!$A$2:$C$258,2))</f>
        <v>Vincenec Oliver</v>
      </c>
      <c r="S27" s="121" t="str">
        <f>IF($Q27=0,"",VLOOKUP($Q27,sez!$A$2:$D$258,4))</f>
        <v>KST Vyškov</v>
      </c>
      <c r="T27" s="56"/>
      <c r="U27" s="57"/>
      <c r="V27" s="57"/>
      <c r="W27" s="57"/>
      <c r="X27" s="58"/>
      <c r="Y27" s="24">
        <f t="shared" si="32"/>
        <v>0</v>
      </c>
      <c r="Z27" s="24">
        <f t="shared" si="33"/>
        <v>0</v>
      </c>
      <c r="AA27" s="24">
        <f t="shared" si="34"/>
        <v>0</v>
      </c>
      <c r="AB27" s="24" t="str">
        <f>IF($AA27=0,"",VLOOKUP($AA27,sez!$A$2:$C$258,2))</f>
        <v/>
      </c>
      <c r="AC27" s="24" t="str">
        <f t="shared" si="35"/>
        <v/>
      </c>
      <c r="AD27" s="24" t="str">
        <f t="shared" si="36"/>
        <v/>
      </c>
      <c r="AE27" s="122">
        <f t="shared" si="37"/>
        <v>0</v>
      </c>
      <c r="AF27" s="122">
        <f t="shared" si="38"/>
        <v>0</v>
      </c>
      <c r="AH27" s="122">
        <f t="shared" si="39"/>
        <v>0</v>
      </c>
      <c r="AI27" s="122">
        <f t="shared" si="39"/>
        <v>0</v>
      </c>
      <c r="AJ27" s="122">
        <f t="shared" si="39"/>
        <v>0</v>
      </c>
      <c r="AK27" s="122">
        <f t="shared" si="39"/>
        <v>0</v>
      </c>
      <c r="AL27" s="122">
        <f t="shared" si="39"/>
        <v>0</v>
      </c>
      <c r="AN27" s="24" t="str">
        <f>CONCATENATE("&lt;/Table&gt;&lt;TD width=420&gt;&lt;Table&gt;")</f>
        <v>&lt;/Table&gt;&lt;TD width=420&gt;&lt;Table&gt;</v>
      </c>
      <c r="AO27" s="24" t="str">
        <f>CONCATENATE("&lt;TR&gt;&lt;TD&gt;",A27,"&lt;TD width=200&gt;",B27,"&lt;TD&gt;",C27,"&lt;TD&gt;",D27,"&lt;TD&gt;",E27,"&lt;TD&gt;",F27,"&lt;TD&gt;",G27,"&lt;TD&gt;",H27,"&lt;/TD&gt;&lt;/TR&gt;")</f>
        <v>&lt;TR&gt;&lt;TD&gt;27&lt;TD width=200&gt;Wutka Michal (KST Blansko)&lt;TD&gt;0:3&lt;TD&gt;XXX&lt;TD&gt;0:3&lt;TD&gt;&lt;TD&gt;2&lt;TD&gt;3&lt;/TD&gt;&lt;/TR&gt;</v>
      </c>
      <c r="AP27" s="24" t="str">
        <f>CONCATENATE("&lt;TR&gt;&lt;TD&gt;",J27,"&lt;TD&gt;",K27,"&lt;/TD&gt;&lt;/TR&gt;")</f>
        <v>&lt;TR&gt;&lt;TD&gt;---------- - Vincenec Oliver&lt;TD&gt;&lt;/TD&gt;&lt;/TR&gt;</v>
      </c>
    </row>
    <row r="28" spans="1:42" ht="16.5" customHeight="1" x14ac:dyDescent="0.2">
      <c r="A28" s="117">
        <v>10</v>
      </c>
      <c r="B28" s="31" t="str">
        <f>IF($A28="","",CONCATENATE(VLOOKUP($A28,sez!$A$2:$B$258,2)," (",VLOOKUP($A28,sez!$A$2:$E$259,4),")"))</f>
        <v>Vincenec Oliver (KST Vyškov)</v>
      </c>
      <c r="C28" s="35" t="str">
        <f>IF(Y30+Z30=0,"",CONCATENATE(Y30,":",Z30))</f>
        <v>3:1</v>
      </c>
      <c r="D28" s="27" t="str">
        <f>IF(Y26+Z26=0,"",CONCATENATE(Z26,":",Y26))</f>
        <v>3:0</v>
      </c>
      <c r="E28" s="27" t="s">
        <v>23</v>
      </c>
      <c r="F28" s="28" t="str">
        <f>IF(Y27+Z27=0,"",CONCATENATE(Z27,":",Y27))</f>
        <v/>
      </c>
      <c r="G28" s="33">
        <f>IF(AF26+AF27+AE30=0,"",AF26+AF27+AE30)</f>
        <v>4</v>
      </c>
      <c r="H28" s="114">
        <v>1</v>
      </c>
      <c r="I28" s="25"/>
      <c r="J28" s="24" t="str">
        <f t="shared" si="30"/>
        <v>Drápal Metoděj - Wutka Michal</v>
      </c>
      <c r="K28" s="24" t="str">
        <f t="shared" si="31"/>
        <v>3 : 0 (3,1,5)</v>
      </c>
      <c r="M28" s="121" t="str">
        <f>CONCATENATE("1.st. ",úvod!$C$8," - ",M24)</f>
        <v>1.st. U19 - muži Skupina D</v>
      </c>
      <c r="N28" s="121">
        <f>A26</f>
        <v>5</v>
      </c>
      <c r="O28" s="121" t="str">
        <f>IF($N28=0,"----------",VLOOKUP($N28,sez!$A$2:$C$258,2))</f>
        <v>Drápal Metoděj</v>
      </c>
      <c r="P28" s="121" t="str">
        <f>IF($N28=0,"",VLOOKUP($N28,sez!$A$2:$D$258,4))</f>
        <v>MS Brno</v>
      </c>
      <c r="Q28" s="121">
        <f>A27</f>
        <v>27</v>
      </c>
      <c r="R28" s="121" t="str">
        <f>IF($Q28=0,"----------",VLOOKUP($Q28,sez!$A$2:$C$258,2))</f>
        <v>Wutka Michal</v>
      </c>
      <c r="S28" s="121" t="str">
        <f>IF($Q28=0,"",VLOOKUP($Q28,sez!$A$2:$D$258,4))</f>
        <v>KST Blansko</v>
      </c>
      <c r="T28" s="56" t="s">
        <v>87</v>
      </c>
      <c r="U28" s="57" t="s">
        <v>135</v>
      </c>
      <c r="V28" s="57" t="s">
        <v>70</v>
      </c>
      <c r="W28" s="57"/>
      <c r="X28" s="58"/>
      <c r="Y28" s="24">
        <f t="shared" si="32"/>
        <v>3</v>
      </c>
      <c r="Z28" s="24">
        <f t="shared" si="33"/>
        <v>0</v>
      </c>
      <c r="AA28" s="24">
        <f t="shared" si="34"/>
        <v>5</v>
      </c>
      <c r="AB28" s="24" t="str">
        <f>IF($AA28=0,"",VLOOKUP($AA28,sez!$A$2:$C$258,2))</f>
        <v>Drápal Metoděj</v>
      </c>
      <c r="AC28" s="24" t="str">
        <f t="shared" si="35"/>
        <v>3:0 (3,1,5)</v>
      </c>
      <c r="AD28" s="24" t="str">
        <f t="shared" si="36"/>
        <v>3:0 (3,1,5)</v>
      </c>
      <c r="AE28" s="122">
        <f t="shared" si="37"/>
        <v>2</v>
      </c>
      <c r="AF28" s="122">
        <f t="shared" si="38"/>
        <v>1</v>
      </c>
      <c r="AH28" s="122">
        <f t="shared" si="39"/>
        <v>1</v>
      </c>
      <c r="AI28" s="122">
        <f t="shared" si="39"/>
        <v>1</v>
      </c>
      <c r="AJ28" s="122">
        <f t="shared" si="39"/>
        <v>1</v>
      </c>
      <c r="AK28" s="122">
        <f t="shared" si="39"/>
        <v>0</v>
      </c>
      <c r="AL28" s="122">
        <f t="shared" si="39"/>
        <v>0</v>
      </c>
      <c r="AN28" s="24" t="str">
        <f>CONCATENATE(AP25,AP26,AP27,AP28,AP29,AP30,)</f>
        <v>&lt;TR&gt;&lt;TD width=250&gt;Drápal Metoděj - ----------&lt;TD&gt;&lt;/TD&gt;&lt;/TR&gt;&lt;TR&gt;&lt;TD&gt;Wutka Michal - Vincenec Oliver&lt;TD&gt;0 : 3 (-2,-5,-4)&lt;/TD&gt;&lt;/TR&gt;&lt;TR&gt;&lt;TD&gt;---------- - Vincenec Oliver&lt;TD&gt;&lt;/TD&gt;&lt;/TR&gt;&lt;TR&gt;&lt;TD&gt;Drápal Metoděj - Wutka Michal&lt;TD&gt;3 : 0 (3,1,5)&lt;/TD&gt;&lt;/TR&gt;&lt;TR&gt;&lt;TD&gt;Wutka Michal - ----------&lt;TD&gt;&lt;/TD&gt;&lt;/TR&gt;&lt;TR&gt;&lt;TD&gt;Vincenec Oliver - Drápal Metoděj&lt;TD&gt;3 : 1 (-5,9,10,5)&lt;/TD&gt;&lt;/TR&gt;</v>
      </c>
      <c r="AO28" s="24" t="str">
        <f>CONCATENATE("&lt;TR&gt;&lt;TD&gt;",A28,"&lt;TD width=200&gt;",B28,"&lt;TD&gt;",C28,"&lt;TD&gt;",D28,"&lt;TD&gt;",E28,"&lt;TD&gt;",F28,"&lt;TD&gt;",G28,"&lt;TD&gt;",H28,"&lt;/TD&gt;&lt;/TR&gt;")</f>
        <v>&lt;TR&gt;&lt;TD&gt;10&lt;TD width=200&gt;Vincenec Oliver (KST Vyškov)&lt;TD&gt;3:1&lt;TD&gt;3:0&lt;TD&gt;XXX&lt;TD&gt;&lt;TD&gt;4&lt;TD&gt;1&lt;/TD&gt;&lt;/TR&gt;</v>
      </c>
      <c r="AP28" s="24" t="str">
        <f>CONCATENATE("&lt;TR&gt;&lt;TD&gt;",J28,"&lt;TD&gt;",K28,"&lt;/TD&gt;&lt;/TR&gt;")</f>
        <v>&lt;TR&gt;&lt;TD&gt;Drápal Metoděj - Wutka Michal&lt;TD&gt;3 : 0 (3,1,5)&lt;/TD&gt;&lt;/TR&gt;</v>
      </c>
    </row>
    <row r="29" spans="1:42" ht="16.5" customHeight="1" thickBot="1" x14ac:dyDescent="0.25">
      <c r="A29" s="118"/>
      <c r="B29" s="32" t="str">
        <f>IF($A29="","",CONCATENATE(VLOOKUP($A29,sez!$A$2:$B$258,2)," (",VLOOKUP($A29,sez!$A$2:$E$259,4),")"))</f>
        <v/>
      </c>
      <c r="C29" s="36" t="str">
        <f>IF(Y25+Z25=0,"",CONCATENATE(Z25,":",Y25))</f>
        <v/>
      </c>
      <c r="D29" s="29" t="str">
        <f>IF(Y29+Z29=0,"",CONCATENATE(Z29,":",Y29))</f>
        <v/>
      </c>
      <c r="E29" s="29" t="str">
        <f>IF(Y27+Z27=0,"",CONCATENATE(Y27,":",Z27))</f>
        <v/>
      </c>
      <c r="F29" s="30" t="s">
        <v>23</v>
      </c>
      <c r="G29" s="34" t="str">
        <f>IF(AF25+AE27+AF29=0,"",AF25+AE27+AF29)</f>
        <v/>
      </c>
      <c r="H29" s="115"/>
      <c r="I29" s="25"/>
      <c r="J29" s="24" t="str">
        <f t="shared" si="30"/>
        <v>Wutka Michal - ----------</v>
      </c>
      <c r="K29" s="24" t="str">
        <f t="shared" si="31"/>
        <v/>
      </c>
      <c r="M29" s="121" t="str">
        <f>CONCATENATE("1.st. ",úvod!$C$8," - ",M24)</f>
        <v>1.st. U19 - muži Skupina D</v>
      </c>
      <c r="N29" s="121">
        <f>A27</f>
        <v>27</v>
      </c>
      <c r="O29" s="121" t="str">
        <f>IF($N29=0,"----------",VLOOKUP($N29,sez!$A$2:$C$258,2))</f>
        <v>Wutka Michal</v>
      </c>
      <c r="P29" s="121" t="str">
        <f>IF($N29=0,"",VLOOKUP($N29,sez!$A$2:$D$258,4))</f>
        <v>KST Blansko</v>
      </c>
      <c r="Q29" s="121">
        <f>A29</f>
        <v>0</v>
      </c>
      <c r="R29" s="121" t="str">
        <f>IF($Q29=0,"----------",VLOOKUP($Q29,sez!$A$2:$C$258,2))</f>
        <v>----------</v>
      </c>
      <c r="S29" s="121" t="str">
        <f>IF($Q29=0,"",VLOOKUP($Q29,sez!$A$2:$D$258,4))</f>
        <v/>
      </c>
      <c r="T29" s="56"/>
      <c r="U29" s="57"/>
      <c r="V29" s="57"/>
      <c r="W29" s="57"/>
      <c r="X29" s="58"/>
      <c r="Y29" s="24">
        <f t="shared" si="32"/>
        <v>0</v>
      </c>
      <c r="Z29" s="24">
        <f t="shared" si="33"/>
        <v>0</v>
      </c>
      <c r="AA29" s="24">
        <f t="shared" si="34"/>
        <v>0</v>
      </c>
      <c r="AB29" s="24" t="str">
        <f>IF($AA29=0,"",VLOOKUP($AA29,sez!$A$2:$C$258,2))</f>
        <v/>
      </c>
      <c r="AC29" s="24" t="str">
        <f t="shared" si="35"/>
        <v/>
      </c>
      <c r="AD29" s="24" t="str">
        <f t="shared" si="36"/>
        <v/>
      </c>
      <c r="AE29" s="122">
        <f t="shared" si="37"/>
        <v>0</v>
      </c>
      <c r="AF29" s="122">
        <f t="shared" si="38"/>
        <v>0</v>
      </c>
      <c r="AH29" s="122">
        <f t="shared" si="39"/>
        <v>0</v>
      </c>
      <c r="AI29" s="122">
        <f t="shared" si="39"/>
        <v>0</v>
      </c>
      <c r="AJ29" s="122">
        <f t="shared" si="39"/>
        <v>0</v>
      </c>
      <c r="AK29" s="122">
        <f t="shared" si="39"/>
        <v>0</v>
      </c>
      <c r="AL29" s="122">
        <f t="shared" si="39"/>
        <v>0</v>
      </c>
      <c r="AN29" s="24" t="str">
        <f>CONCATENATE("&lt;/Table&gt;&lt;/TD&gt;&lt;/TR&gt;&lt;/Table&gt;&lt;P&gt;")</f>
        <v>&lt;/Table&gt;&lt;/TD&gt;&lt;/TR&gt;&lt;/Table&gt;&lt;P&gt;</v>
      </c>
      <c r="AO29" s="24" t="str">
        <f>CONCATENATE("&lt;TR&gt;&lt;TD&gt;",A29,"&lt;TD width=200&gt;",B29,"&lt;TD&gt;",C29,"&lt;TD&gt;",D29,"&lt;TD&gt;",E29,"&lt;TD&gt;",F29,"&lt;TD&gt;",G29,"&lt;TD&gt;",H29,"&lt;/TD&gt;&lt;/TR&gt;")</f>
        <v>&lt;TR&gt;&lt;TD&gt;&lt;TD width=200&gt;&lt;TD&gt;&lt;TD&gt;&lt;TD&gt;&lt;TD&gt;XXX&lt;TD&gt;&lt;TD&gt;&lt;/TD&gt;&lt;/TR&gt;</v>
      </c>
      <c r="AP29" s="24" t="str">
        <f>CONCATENATE("&lt;TR&gt;&lt;TD&gt;",J29,"&lt;TD&gt;",K29,"&lt;/TD&gt;&lt;/TR&gt;")</f>
        <v>&lt;TR&gt;&lt;TD&gt;Wutka Michal - ----------&lt;TD&gt;&lt;/TD&gt;&lt;/TR&gt;</v>
      </c>
    </row>
    <row r="30" spans="1:42" ht="16.5" customHeight="1" thickTop="1" thickBot="1" x14ac:dyDescent="0.25">
      <c r="J30" s="24" t="str">
        <f t="shared" si="30"/>
        <v>Vincenec Oliver - Drápal Metoděj</v>
      </c>
      <c r="K30" s="24" t="str">
        <f t="shared" si="31"/>
        <v>3 : 1 (-5,9,10,5)</v>
      </c>
      <c r="M30" s="121" t="str">
        <f>CONCATENATE("1.st. ",úvod!$C$8," - ",M24)</f>
        <v>1.st. U19 - muži Skupina D</v>
      </c>
      <c r="N30" s="121">
        <f>A28</f>
        <v>10</v>
      </c>
      <c r="O30" s="121" t="str">
        <f>IF($N30=0,"----------",VLOOKUP($N30,sez!$A$2:$C$258,2))</f>
        <v>Vincenec Oliver</v>
      </c>
      <c r="P30" s="121" t="str">
        <f>IF($N30=0,"",VLOOKUP($N30,sez!$A$2:$D$258,4))</f>
        <v>KST Vyškov</v>
      </c>
      <c r="Q30" s="121">
        <f>A26</f>
        <v>5</v>
      </c>
      <c r="R30" s="121" t="str">
        <f>IF($Q30=0,"----------",VLOOKUP($Q30,sez!$A$2:$C$258,2))</f>
        <v>Drápal Metoděj</v>
      </c>
      <c r="S30" s="121" t="str">
        <f>IF($Q30=0,"",VLOOKUP($Q30,sez!$A$2:$D$258,4))</f>
        <v>MS Brno</v>
      </c>
      <c r="T30" s="59" t="s">
        <v>80</v>
      </c>
      <c r="U30" s="60" t="s">
        <v>71</v>
      </c>
      <c r="V30" s="60" t="s">
        <v>90</v>
      </c>
      <c r="W30" s="60" t="s">
        <v>70</v>
      </c>
      <c r="X30" s="61"/>
      <c r="Y30" s="24">
        <f t="shared" si="32"/>
        <v>3</v>
      </c>
      <c r="Z30" s="24">
        <f t="shared" si="33"/>
        <v>1</v>
      </c>
      <c r="AA30" s="24">
        <f t="shared" si="34"/>
        <v>10</v>
      </c>
      <c r="AB30" s="24" t="str">
        <f>IF($AA30=0,"",VLOOKUP($AA30,sez!$A$2:$C$258,2))</f>
        <v>Vincenec Oliver</v>
      </c>
      <c r="AC30" s="24" t="str">
        <f t="shared" si="35"/>
        <v>3:1 (-5,9,10,5)</v>
      </c>
      <c r="AD30" s="24" t="str">
        <f t="shared" si="36"/>
        <v>3:1 (-5,9,10,5)</v>
      </c>
      <c r="AE30" s="122">
        <f t="shared" si="37"/>
        <v>2</v>
      </c>
      <c r="AF30" s="122">
        <f t="shared" si="38"/>
        <v>1</v>
      </c>
      <c r="AH30" s="122">
        <f t="shared" si="39"/>
        <v>-1</v>
      </c>
      <c r="AI30" s="122">
        <f t="shared" si="39"/>
        <v>1</v>
      </c>
      <c r="AJ30" s="122">
        <f t="shared" si="39"/>
        <v>1</v>
      </c>
      <c r="AK30" s="122">
        <f t="shared" si="39"/>
        <v>1</v>
      </c>
      <c r="AL30" s="122">
        <f t="shared" si="39"/>
        <v>0</v>
      </c>
      <c r="AP30" s="24" t="str">
        <f>CONCATENATE("&lt;TR&gt;&lt;TD&gt;",J30,"&lt;TD&gt;",K30,"&lt;/TD&gt;&lt;/TR&gt;")</f>
        <v>&lt;TR&gt;&lt;TD&gt;Vincenec Oliver - Drápal Metoděj&lt;TD&gt;3 : 1 (-5,9,10,5)&lt;/TD&gt;&lt;/TR&gt;</v>
      </c>
    </row>
    <row r="31" spans="1:42" ht="16.5" customHeight="1" thickTop="1" thickBot="1" x14ac:dyDescent="0.25">
      <c r="M31" s="25" t="str">
        <f>B32</f>
        <v>muži Skupina E</v>
      </c>
      <c r="N31" s="25" t="s">
        <v>0</v>
      </c>
      <c r="O31" s="25" t="s">
        <v>1</v>
      </c>
      <c r="P31" s="25" t="s">
        <v>2</v>
      </c>
      <c r="Q31" s="25" t="s">
        <v>0</v>
      </c>
      <c r="R31" s="25" t="s">
        <v>3</v>
      </c>
      <c r="S31" s="25" t="s">
        <v>2</v>
      </c>
      <c r="T31" s="26" t="s">
        <v>4</v>
      </c>
      <c r="U31" s="26" t="s">
        <v>5</v>
      </c>
      <c r="V31" s="26" t="s">
        <v>6</v>
      </c>
      <c r="W31" s="26" t="s">
        <v>7</v>
      </c>
      <c r="X31" s="26" t="s">
        <v>8</v>
      </c>
      <c r="Y31" s="25" t="s">
        <v>9</v>
      </c>
      <c r="Z31" s="25" t="s">
        <v>10</v>
      </c>
      <c r="AA31" s="25" t="s">
        <v>11</v>
      </c>
      <c r="AN31" s="24" t="s">
        <v>18</v>
      </c>
    </row>
    <row r="32" spans="1:42" ht="16.5" customHeight="1" thickTop="1" thickBot="1" x14ac:dyDescent="0.25">
      <c r="A32" s="42"/>
      <c r="B32" s="43" t="s">
        <v>102</v>
      </c>
      <c r="C32" s="44">
        <v>1</v>
      </c>
      <c r="D32" s="45">
        <v>2</v>
      </c>
      <c r="E32" s="45">
        <v>3</v>
      </c>
      <c r="F32" s="46">
        <v>4</v>
      </c>
      <c r="G32" s="47" t="s">
        <v>16</v>
      </c>
      <c r="H32" s="46" t="s">
        <v>17</v>
      </c>
      <c r="J32" s="24" t="str">
        <f t="shared" ref="J32:J37" si="40">CONCATENATE(O32," - ",R32)</f>
        <v>Pařízek Richard - ----------</v>
      </c>
      <c r="K32" s="24" t="str">
        <f t="shared" ref="K32:K37" si="41">IF(SUM(Y32:Z32)=0,AD32,CONCATENATE(Y32," : ",Z32," (",T32,",",U32,",",V32,IF(Y32+Z32&gt;3,",",""),W32,IF(Y32+Z32&gt;4,",",""),X32,")"))</f>
        <v/>
      </c>
      <c r="M32" s="121" t="str">
        <f>CONCATENATE("1.st. ",úvod!$C$8," - ",M31)</f>
        <v>1.st. U19 - muži Skupina E</v>
      </c>
      <c r="N32" s="121">
        <f>A33</f>
        <v>6</v>
      </c>
      <c r="O32" s="121" t="str">
        <f>IF($N32=0,"----------",VLOOKUP($N32,sez!$A$2:$C$258,2))</f>
        <v>Pařízek Richard</v>
      </c>
      <c r="P32" s="121" t="str">
        <f>IF($N32=0,"",VLOOKUP($N32,sez!$A$2:$D$258,4))</f>
        <v>SKST Hodonín</v>
      </c>
      <c r="Q32" s="121">
        <f>A36</f>
        <v>0</v>
      </c>
      <c r="R32" s="121" t="str">
        <f>IF($Q32=0,"----------",VLOOKUP($Q32,sez!$A$2:$C$258,2))</f>
        <v>----------</v>
      </c>
      <c r="S32" s="121" t="str">
        <f>IF($Q32=0,"",VLOOKUP($Q32,sez!$A$2:$D$258,4))</f>
        <v/>
      </c>
      <c r="T32" s="53"/>
      <c r="U32" s="54"/>
      <c r="V32" s="54"/>
      <c r="W32" s="54"/>
      <c r="X32" s="55"/>
      <c r="Y32" s="24">
        <f t="shared" ref="Y32:Y37" si="42">COUNTIF(AH32:AL32,"&gt;0")</f>
        <v>0</v>
      </c>
      <c r="Z32" s="24">
        <f t="shared" ref="Z32:Z37" si="43">COUNTIF(AH32:AL32,"&lt;0")</f>
        <v>0</v>
      </c>
      <c r="AA32" s="24">
        <f t="shared" ref="AA32:AA37" si="44">IF(Y32=Z32,0,IF(Y32&gt;Z32,N32,Q32))</f>
        <v>0</v>
      </c>
      <c r="AB32" s="24" t="str">
        <f>IF($AA32=0,"",VLOOKUP($AA32,sez!$A$2:$C$258,2))</f>
        <v/>
      </c>
      <c r="AC32" s="24" t="str">
        <f t="shared" ref="AC32:AC37" si="45">IF(Y32=Z32,"",IF(Y32&gt;Z32,CONCATENATE(Y32,":",Z32," (",T32,",",U32,",",V32,IF(SUM(Y32:Z32)&gt;3,",",""),W32,IF(SUM(Y32:Z32)&gt;4,",",""),X32,")"),CONCATENATE(Z32,":",Y32," (",-T32,",",-U32,",",-V32,IF(SUM(Y32:Z32)&gt;3,CONCATENATE(",",-W32),""),IF(SUM(Y32:Z32)&gt;4,CONCATENATE(",",-X32),""),")")))</f>
        <v/>
      </c>
      <c r="AD32" s="24" t="str">
        <f t="shared" ref="AD32:AD37" si="46">IF(SUM(Y32:Z32)=0,"",AC32)</f>
        <v/>
      </c>
      <c r="AE32" s="122">
        <f t="shared" ref="AE32:AE37" si="47">IF(T32="",0,IF(Y32&gt;Z32,2,1))</f>
        <v>0</v>
      </c>
      <c r="AF32" s="122">
        <f t="shared" ref="AF32:AF37" si="48">IF(T32="",0,IF(Z32&gt;Y32,2,1))</f>
        <v>0</v>
      </c>
      <c r="AH32" s="122">
        <f t="shared" ref="AH32:AL37" si="49">IF(T32="",0,IF(MID(T32,1,1)="-",-1,1))</f>
        <v>0</v>
      </c>
      <c r="AI32" s="122">
        <f t="shared" si="49"/>
        <v>0</v>
      </c>
      <c r="AJ32" s="122">
        <f t="shared" si="49"/>
        <v>0</v>
      </c>
      <c r="AK32" s="122">
        <f t="shared" si="49"/>
        <v>0</v>
      </c>
      <c r="AL32" s="122">
        <f t="shared" si="49"/>
        <v>0</v>
      </c>
      <c r="AN32" s="24" t="str">
        <f>CONCATENATE("&lt;Table border=1 cellpading=0 cellspacing=0 width=480&gt;&lt;TR&gt;&lt;TH colspan=2&gt;",B32,"&lt;TH&gt;1&lt;TH&gt;2&lt;TH&gt;3&lt;TH&gt;4&lt;TH&gt;Body&lt;TH&gt;Pořadí&lt;/TH&gt;&lt;/TR&gt;")</f>
        <v>&lt;Table border=1 cellpading=0 cellspacing=0 width=480&gt;&lt;TR&gt;&lt;TH colspan=2&gt;muži Skupina E&lt;TH&gt;1&lt;TH&gt;2&lt;TH&gt;3&lt;TH&gt;4&lt;TH&gt;Body&lt;TH&gt;Pořadí&lt;/TH&gt;&lt;/TR&gt;</v>
      </c>
      <c r="AP32" s="24" t="str">
        <f>CONCATENATE("&lt;TR&gt;&lt;TD width=250&gt;",J32,"&lt;TD&gt;",K32,"&lt;/TD&gt;&lt;/TR&gt;")</f>
        <v>&lt;TR&gt;&lt;TD width=250&gt;Pařízek Richard - ----------&lt;TD&gt;&lt;/TD&gt;&lt;/TR&gt;</v>
      </c>
    </row>
    <row r="33" spans="1:42" ht="16.5" customHeight="1" thickTop="1" x14ac:dyDescent="0.2">
      <c r="A33" s="116">
        <v>6</v>
      </c>
      <c r="B33" s="37" t="str">
        <f>IF($A33="","",CONCATENATE(VLOOKUP($A33,sez!$A$2:$B$258,2)," (",VLOOKUP($A33,sez!$A$2:$E$259,4),")"))</f>
        <v>Pařízek Richard (SKST Hodonín)</v>
      </c>
      <c r="C33" s="38" t="s">
        <v>23</v>
      </c>
      <c r="D33" s="39" t="str">
        <f>IF(Y35+Z35=0,"",CONCATENATE(Y35,":",Z35))</f>
        <v>3:0</v>
      </c>
      <c r="E33" s="39" t="str">
        <f>IF(Y37+Z37=0,"",CONCATENATE(Z37,":",Y37))</f>
        <v>3:0</v>
      </c>
      <c r="F33" s="40" t="str">
        <f>IF(Y32+Z32=0,"",CONCATENATE(Y32,":",Z32))</f>
        <v/>
      </c>
      <c r="G33" s="41">
        <f>IF(AE32+AE35+AF37=0,"",AE32+AE35+AF37)</f>
        <v>4</v>
      </c>
      <c r="H33" s="113">
        <v>1</v>
      </c>
      <c r="J33" s="24" t="str">
        <f t="shared" si="40"/>
        <v>Hampl Petr - Horníček Lukáš</v>
      </c>
      <c r="K33" s="24" t="str">
        <f t="shared" si="41"/>
        <v>0 : 3 (-12,-4,-9)</v>
      </c>
      <c r="M33" s="121" t="str">
        <f>CONCATENATE("1.st. ",úvod!$C$8," - ",M31)</f>
        <v>1.st. U19 - muži Skupina E</v>
      </c>
      <c r="N33" s="121">
        <f>A34</f>
        <v>25</v>
      </c>
      <c r="O33" s="121" t="str">
        <f>IF($N33=0,"----------",VLOOKUP($N33,sez!$A$2:$C$258,2))</f>
        <v>Hampl Petr</v>
      </c>
      <c r="P33" s="121" t="str">
        <f>IF($N33=0,"",VLOOKUP($N33,sez!$A$2:$D$258,4))</f>
        <v>KST Blansko</v>
      </c>
      <c r="Q33" s="121">
        <f>A35</f>
        <v>12</v>
      </c>
      <c r="R33" s="121" t="str">
        <f>IF($Q33=0,"----------",VLOOKUP($Q33,sez!$A$2:$C$258,2))</f>
        <v>Horníček Lukáš</v>
      </c>
      <c r="S33" s="121" t="str">
        <f>IF($Q33=0,"",VLOOKUP($Q33,sez!$A$2:$D$258,4))</f>
        <v>MS Brno</v>
      </c>
      <c r="T33" s="56" t="s">
        <v>93</v>
      </c>
      <c r="U33" s="57" t="s">
        <v>73</v>
      </c>
      <c r="V33" s="57" t="s">
        <v>75</v>
      </c>
      <c r="W33" s="57"/>
      <c r="X33" s="58"/>
      <c r="Y33" s="24">
        <f t="shared" si="42"/>
        <v>0</v>
      </c>
      <c r="Z33" s="24">
        <f t="shared" si="43"/>
        <v>3</v>
      </c>
      <c r="AA33" s="24">
        <f t="shared" si="44"/>
        <v>12</v>
      </c>
      <c r="AB33" s="24" t="str">
        <f>IF($AA33=0,"",VLOOKUP($AA33,sez!$A$2:$C$258,2))</f>
        <v>Horníček Lukáš</v>
      </c>
      <c r="AC33" s="24" t="str">
        <f t="shared" si="45"/>
        <v>3:0 (12,4,9)</v>
      </c>
      <c r="AD33" s="24" t="str">
        <f t="shared" si="46"/>
        <v>3:0 (12,4,9)</v>
      </c>
      <c r="AE33" s="122">
        <f t="shared" si="47"/>
        <v>1</v>
      </c>
      <c r="AF33" s="122">
        <f t="shared" si="48"/>
        <v>2</v>
      </c>
      <c r="AH33" s="122">
        <f t="shared" si="49"/>
        <v>-1</v>
      </c>
      <c r="AI33" s="122">
        <f t="shared" si="49"/>
        <v>-1</v>
      </c>
      <c r="AJ33" s="122">
        <f t="shared" si="49"/>
        <v>-1</v>
      </c>
      <c r="AK33" s="122">
        <f t="shared" si="49"/>
        <v>0</v>
      </c>
      <c r="AL33" s="122">
        <f t="shared" si="49"/>
        <v>0</v>
      </c>
      <c r="AN33" s="24" t="str">
        <f>CONCATENATE(AO33,AO34,AO35,AO36,)</f>
        <v>&lt;TR&gt;&lt;TD&gt;6&lt;TD width=200&gt;Pařízek Richard (SKST Hodonín)&lt;TD&gt;XXX&lt;TD&gt;3:0&lt;TD&gt;3:0&lt;TD&gt;&lt;TD&gt;4&lt;TD&gt;1&lt;/TD&gt;&lt;/TR&gt;&lt;TR&gt;&lt;TD&gt;25&lt;TD width=200&gt;Hampl Petr (KST Blansko)&lt;TD&gt;0:3&lt;TD&gt;XXX&lt;TD&gt;0:3&lt;TD&gt;&lt;TD&gt;2&lt;TD&gt;3&lt;/TD&gt;&lt;/TR&gt;&lt;TR&gt;&lt;TD&gt;12&lt;TD width=200&gt;Horníček Lukáš (MS Brno)&lt;TD&gt;0:3&lt;TD&gt;3:0&lt;TD&gt;XXX&lt;TD&gt;&lt;TD&gt;3&lt;TD&gt;2&lt;/TD&gt;&lt;/TR&gt;&lt;TR&gt;&lt;TD&gt;&lt;TD width=200&gt;&lt;TD&gt;&lt;TD&gt;&lt;TD&gt;&lt;TD&gt;XXX&lt;TD&gt;&lt;TD&gt;&lt;/TD&gt;&lt;/TR&gt;</v>
      </c>
      <c r="AO33" s="24" t="str">
        <f>CONCATENATE("&lt;TR&gt;&lt;TD&gt;",A33,"&lt;TD width=200&gt;",B33,"&lt;TD&gt;",C33,"&lt;TD&gt;",D33,"&lt;TD&gt;",E33,"&lt;TD&gt;",F33,"&lt;TD&gt;",G33,"&lt;TD&gt;",H33,"&lt;/TD&gt;&lt;/TR&gt;")</f>
        <v>&lt;TR&gt;&lt;TD&gt;6&lt;TD width=200&gt;Pařízek Richard (SKST Hodonín)&lt;TD&gt;XXX&lt;TD&gt;3:0&lt;TD&gt;3:0&lt;TD&gt;&lt;TD&gt;4&lt;TD&gt;1&lt;/TD&gt;&lt;/TR&gt;</v>
      </c>
      <c r="AP33" s="24" t="str">
        <f>CONCATENATE("&lt;TR&gt;&lt;TD&gt;",J33,"&lt;TD&gt;",K33,"&lt;/TD&gt;&lt;/TR&gt;")</f>
        <v>&lt;TR&gt;&lt;TD&gt;Hampl Petr - Horníček Lukáš&lt;TD&gt;0 : 3 (-12,-4,-9)&lt;/TD&gt;&lt;/TR&gt;</v>
      </c>
    </row>
    <row r="34" spans="1:42" ht="16.5" customHeight="1" x14ac:dyDescent="0.2">
      <c r="A34" s="117">
        <v>25</v>
      </c>
      <c r="B34" s="31" t="str">
        <f>IF($A34="","",CONCATENATE(VLOOKUP($A34,sez!$A$2:$B$258,2)," (",VLOOKUP($A34,sez!$A$2:$E$259,4),")"))</f>
        <v>Hampl Petr (KST Blansko)</v>
      </c>
      <c r="C34" s="35" t="str">
        <f>IF(Y35+Z35=0,"",CONCATENATE(Z35,":",Y35))</f>
        <v>0:3</v>
      </c>
      <c r="D34" s="27" t="s">
        <v>23</v>
      </c>
      <c r="E34" s="27" t="str">
        <f>IF(Y33+Z33=0,"",CONCATENATE(Y33,":",Z33))</f>
        <v>0:3</v>
      </c>
      <c r="F34" s="28" t="str">
        <f>IF(Y36+Z36=0,"",CONCATENATE(Y36,":",Z36))</f>
        <v/>
      </c>
      <c r="G34" s="33">
        <f>IF(AE33+AF35+AE36=0,"",AE33+AF35+AE36)</f>
        <v>2</v>
      </c>
      <c r="H34" s="114">
        <v>3</v>
      </c>
      <c r="J34" s="24" t="str">
        <f t="shared" si="40"/>
        <v>---------- - Horníček Lukáš</v>
      </c>
      <c r="K34" s="24" t="str">
        <f t="shared" si="41"/>
        <v/>
      </c>
      <c r="M34" s="121" t="str">
        <f>CONCATENATE("1.st. ",úvod!$C$8," - ",M31)</f>
        <v>1.st. U19 - muži Skupina E</v>
      </c>
      <c r="N34" s="121">
        <f>A36</f>
        <v>0</v>
      </c>
      <c r="O34" s="121" t="str">
        <f>IF($N34=0,"----------",VLOOKUP($N34,sez!$A$2:$C$258,2))</f>
        <v>----------</v>
      </c>
      <c r="P34" s="121" t="str">
        <f>IF($N34=0,"",VLOOKUP($N34,sez!$A$2:$D$258,4))</f>
        <v/>
      </c>
      <c r="Q34" s="121">
        <f>A35</f>
        <v>12</v>
      </c>
      <c r="R34" s="121" t="str">
        <f>IF($Q34=0,"----------",VLOOKUP($Q34,sez!$A$2:$C$258,2))</f>
        <v>Horníček Lukáš</v>
      </c>
      <c r="S34" s="121" t="str">
        <f>IF($Q34=0,"",VLOOKUP($Q34,sez!$A$2:$D$258,4))</f>
        <v>MS Brno</v>
      </c>
      <c r="T34" s="56"/>
      <c r="U34" s="57"/>
      <c r="V34" s="57"/>
      <c r="W34" s="57"/>
      <c r="X34" s="58"/>
      <c r="Y34" s="24">
        <f t="shared" si="42"/>
        <v>0</v>
      </c>
      <c r="Z34" s="24">
        <f t="shared" si="43"/>
        <v>0</v>
      </c>
      <c r="AA34" s="24">
        <f t="shared" si="44"/>
        <v>0</v>
      </c>
      <c r="AB34" s="24" t="str">
        <f>IF($AA34=0,"",VLOOKUP($AA34,sez!$A$2:$C$258,2))</f>
        <v/>
      </c>
      <c r="AC34" s="24" t="str">
        <f t="shared" si="45"/>
        <v/>
      </c>
      <c r="AD34" s="24" t="str">
        <f t="shared" si="46"/>
        <v/>
      </c>
      <c r="AE34" s="122">
        <f t="shared" si="47"/>
        <v>0</v>
      </c>
      <c r="AF34" s="122">
        <f t="shared" si="48"/>
        <v>0</v>
      </c>
      <c r="AH34" s="122">
        <f t="shared" si="49"/>
        <v>0</v>
      </c>
      <c r="AI34" s="122">
        <f t="shared" si="49"/>
        <v>0</v>
      </c>
      <c r="AJ34" s="122">
        <f t="shared" si="49"/>
        <v>0</v>
      </c>
      <c r="AK34" s="122">
        <f t="shared" si="49"/>
        <v>0</v>
      </c>
      <c r="AL34" s="122">
        <f t="shared" si="49"/>
        <v>0</v>
      </c>
      <c r="AN34" s="24" t="str">
        <f>CONCATENATE("&lt;/Table&gt;&lt;TD width=420&gt;&lt;Table&gt;")</f>
        <v>&lt;/Table&gt;&lt;TD width=420&gt;&lt;Table&gt;</v>
      </c>
      <c r="AO34" s="24" t="str">
        <f>CONCATENATE("&lt;TR&gt;&lt;TD&gt;",A34,"&lt;TD width=200&gt;",B34,"&lt;TD&gt;",C34,"&lt;TD&gt;",D34,"&lt;TD&gt;",E34,"&lt;TD&gt;",F34,"&lt;TD&gt;",G34,"&lt;TD&gt;",H34,"&lt;/TD&gt;&lt;/TR&gt;")</f>
        <v>&lt;TR&gt;&lt;TD&gt;25&lt;TD width=200&gt;Hampl Petr (KST Blansko)&lt;TD&gt;0:3&lt;TD&gt;XXX&lt;TD&gt;0:3&lt;TD&gt;&lt;TD&gt;2&lt;TD&gt;3&lt;/TD&gt;&lt;/TR&gt;</v>
      </c>
      <c r="AP34" s="24" t="str">
        <f>CONCATENATE("&lt;TR&gt;&lt;TD&gt;",J34,"&lt;TD&gt;",K34,"&lt;/TD&gt;&lt;/TR&gt;")</f>
        <v>&lt;TR&gt;&lt;TD&gt;---------- - Horníček Lukáš&lt;TD&gt;&lt;/TD&gt;&lt;/TR&gt;</v>
      </c>
    </row>
    <row r="35" spans="1:42" ht="16.5" customHeight="1" x14ac:dyDescent="0.2">
      <c r="A35" s="117">
        <v>12</v>
      </c>
      <c r="B35" s="31" t="str">
        <f>IF($A35="","",CONCATENATE(VLOOKUP($A35,sez!$A$2:$B$258,2)," (",VLOOKUP($A35,sez!$A$2:$E$259,4),")"))</f>
        <v>Horníček Lukáš (MS Brno)</v>
      </c>
      <c r="C35" s="35" t="str">
        <f>IF(Y37+Z37=0,"",CONCATENATE(Y37,":",Z37))</f>
        <v>0:3</v>
      </c>
      <c r="D35" s="27" t="str">
        <f>IF(Y33+Z33=0,"",CONCATENATE(Z33,":",Y33))</f>
        <v>3:0</v>
      </c>
      <c r="E35" s="27" t="s">
        <v>23</v>
      </c>
      <c r="F35" s="28" t="str">
        <f>IF(Y34+Z34=0,"",CONCATENATE(Z34,":",Y34))</f>
        <v/>
      </c>
      <c r="G35" s="33">
        <f>IF(AF33+AF34+AE37=0,"",AF33+AF34+AE37)</f>
        <v>3</v>
      </c>
      <c r="H35" s="114">
        <v>2</v>
      </c>
      <c r="J35" s="24" t="str">
        <f t="shared" si="40"/>
        <v>Pařízek Richard - Hampl Petr</v>
      </c>
      <c r="K35" s="24" t="str">
        <f t="shared" si="41"/>
        <v>3 : 0 (4,1,1)</v>
      </c>
      <c r="M35" s="121" t="str">
        <f>CONCATENATE("1.st. ",úvod!$C$8," - ",M31)</f>
        <v>1.st. U19 - muži Skupina E</v>
      </c>
      <c r="N35" s="121">
        <f>A33</f>
        <v>6</v>
      </c>
      <c r="O35" s="121" t="str">
        <f>IF($N35=0,"----------",VLOOKUP($N35,sez!$A$2:$C$258,2))</f>
        <v>Pařízek Richard</v>
      </c>
      <c r="P35" s="121" t="str">
        <f>IF($N35=0,"",VLOOKUP($N35,sez!$A$2:$D$258,4))</f>
        <v>SKST Hodonín</v>
      </c>
      <c r="Q35" s="121">
        <f>A34</f>
        <v>25</v>
      </c>
      <c r="R35" s="121" t="str">
        <f>IF($Q35=0,"----------",VLOOKUP($Q35,sez!$A$2:$C$258,2))</f>
        <v>Hampl Petr</v>
      </c>
      <c r="S35" s="121" t="str">
        <f>IF($Q35=0,"",VLOOKUP($Q35,sez!$A$2:$D$258,4))</f>
        <v>KST Blansko</v>
      </c>
      <c r="T35" s="56" t="s">
        <v>86</v>
      </c>
      <c r="U35" s="57" t="s">
        <v>135</v>
      </c>
      <c r="V35" s="57" t="s">
        <v>135</v>
      </c>
      <c r="W35" s="57"/>
      <c r="X35" s="58"/>
      <c r="Y35" s="24">
        <f t="shared" si="42"/>
        <v>3</v>
      </c>
      <c r="Z35" s="24">
        <f t="shared" si="43"/>
        <v>0</v>
      </c>
      <c r="AA35" s="24">
        <f t="shared" si="44"/>
        <v>6</v>
      </c>
      <c r="AB35" s="24" t="str">
        <f>IF($AA35=0,"",VLOOKUP($AA35,sez!$A$2:$C$258,2))</f>
        <v>Pařízek Richard</v>
      </c>
      <c r="AC35" s="24" t="str">
        <f t="shared" si="45"/>
        <v>3:0 (4,1,1)</v>
      </c>
      <c r="AD35" s="24" t="str">
        <f t="shared" si="46"/>
        <v>3:0 (4,1,1)</v>
      </c>
      <c r="AE35" s="122">
        <f t="shared" si="47"/>
        <v>2</v>
      </c>
      <c r="AF35" s="122">
        <f t="shared" si="48"/>
        <v>1</v>
      </c>
      <c r="AH35" s="122">
        <f t="shared" si="49"/>
        <v>1</v>
      </c>
      <c r="AI35" s="122">
        <f t="shared" si="49"/>
        <v>1</v>
      </c>
      <c r="AJ35" s="122">
        <f t="shared" si="49"/>
        <v>1</v>
      </c>
      <c r="AK35" s="122">
        <f t="shared" si="49"/>
        <v>0</v>
      </c>
      <c r="AL35" s="122">
        <f t="shared" si="49"/>
        <v>0</v>
      </c>
      <c r="AN35" s="24" t="str">
        <f>CONCATENATE(AP32,AP33,AP34,AP35,AP36,AP37,)</f>
        <v>&lt;TR&gt;&lt;TD width=250&gt;Pařízek Richard - ----------&lt;TD&gt;&lt;/TD&gt;&lt;/TR&gt;&lt;TR&gt;&lt;TD&gt;Hampl Petr - Horníček Lukáš&lt;TD&gt;0 : 3 (-12,-4,-9)&lt;/TD&gt;&lt;/TR&gt;&lt;TR&gt;&lt;TD&gt;---------- - Horníček Lukáš&lt;TD&gt;&lt;/TD&gt;&lt;/TR&gt;&lt;TR&gt;&lt;TD&gt;Pařízek Richard - Hampl Petr&lt;TD&gt;3 : 0 (4,1,1)&lt;/TD&gt;&lt;/TR&gt;&lt;TR&gt;&lt;TD&gt;Hampl Petr - ----------&lt;TD&gt;&lt;/TD&gt;&lt;/TR&gt;&lt;TR&gt;&lt;TD&gt;Horníček Lukáš - Pařízek Richard&lt;TD&gt;0 : 3 (-8,-2,-6)&lt;/TD&gt;&lt;/TR&gt;</v>
      </c>
      <c r="AO35" s="24" t="str">
        <f>CONCATENATE("&lt;TR&gt;&lt;TD&gt;",A35,"&lt;TD width=200&gt;",B35,"&lt;TD&gt;",C35,"&lt;TD&gt;",D35,"&lt;TD&gt;",E35,"&lt;TD&gt;",F35,"&lt;TD&gt;",G35,"&lt;TD&gt;",H35,"&lt;/TD&gt;&lt;/TR&gt;")</f>
        <v>&lt;TR&gt;&lt;TD&gt;12&lt;TD width=200&gt;Horníček Lukáš (MS Brno)&lt;TD&gt;0:3&lt;TD&gt;3:0&lt;TD&gt;XXX&lt;TD&gt;&lt;TD&gt;3&lt;TD&gt;2&lt;/TD&gt;&lt;/TR&gt;</v>
      </c>
      <c r="AP35" s="24" t="str">
        <f>CONCATENATE("&lt;TR&gt;&lt;TD&gt;",J35,"&lt;TD&gt;",K35,"&lt;/TD&gt;&lt;/TR&gt;")</f>
        <v>&lt;TR&gt;&lt;TD&gt;Pařízek Richard - Hampl Petr&lt;TD&gt;3 : 0 (4,1,1)&lt;/TD&gt;&lt;/TR&gt;</v>
      </c>
    </row>
    <row r="36" spans="1:42" ht="16.5" customHeight="1" thickBot="1" x14ac:dyDescent="0.25">
      <c r="A36" s="118"/>
      <c r="B36" s="32" t="str">
        <f>IF($A36="","",CONCATENATE(VLOOKUP($A36,sez!$A$2:$B$258,2)," (",VLOOKUP($A36,sez!$A$2:$E$259,4),")"))</f>
        <v/>
      </c>
      <c r="C36" s="36" t="str">
        <f>IF(Y32+Z32=0,"",CONCATENATE(Z32,":",Y32))</f>
        <v/>
      </c>
      <c r="D36" s="29" t="str">
        <f>IF(Y36+Z36=0,"",CONCATENATE(Z36,":",Y36))</f>
        <v/>
      </c>
      <c r="E36" s="29" t="str">
        <f>IF(Y34+Z34=0,"",CONCATENATE(Y34,":",Z34))</f>
        <v/>
      </c>
      <c r="F36" s="30" t="s">
        <v>23</v>
      </c>
      <c r="G36" s="34" t="str">
        <f>IF(AF32+AE34+AF36=0,"",AF32+AE34+AF36)</f>
        <v/>
      </c>
      <c r="H36" s="115"/>
      <c r="J36" s="24" t="str">
        <f t="shared" si="40"/>
        <v>Hampl Petr - ----------</v>
      </c>
      <c r="K36" s="24" t="str">
        <f t="shared" si="41"/>
        <v/>
      </c>
      <c r="M36" s="121" t="str">
        <f>CONCATENATE("1.st. ",úvod!$C$8," - ",M31)</f>
        <v>1.st. U19 - muži Skupina E</v>
      </c>
      <c r="N36" s="121">
        <f>A34</f>
        <v>25</v>
      </c>
      <c r="O36" s="121" t="str">
        <f>IF($N36=0,"----------",VLOOKUP($N36,sez!$A$2:$C$258,2))</f>
        <v>Hampl Petr</v>
      </c>
      <c r="P36" s="121" t="str">
        <f>IF($N36=0,"",VLOOKUP($N36,sez!$A$2:$D$258,4))</f>
        <v>KST Blansko</v>
      </c>
      <c r="Q36" s="121">
        <f>A36</f>
        <v>0</v>
      </c>
      <c r="R36" s="121" t="str">
        <f>IF($Q36=0,"----------",VLOOKUP($Q36,sez!$A$2:$C$258,2))</f>
        <v>----------</v>
      </c>
      <c r="S36" s="121" t="str">
        <f>IF($Q36=0,"",VLOOKUP($Q36,sez!$A$2:$D$258,4))</f>
        <v/>
      </c>
      <c r="T36" s="56"/>
      <c r="U36" s="57"/>
      <c r="V36" s="57"/>
      <c r="W36" s="57"/>
      <c r="X36" s="58"/>
      <c r="Y36" s="24">
        <f t="shared" si="42"/>
        <v>0</v>
      </c>
      <c r="Z36" s="24">
        <f t="shared" si="43"/>
        <v>0</v>
      </c>
      <c r="AA36" s="24">
        <f t="shared" si="44"/>
        <v>0</v>
      </c>
      <c r="AB36" s="24" t="str">
        <f>IF($AA36=0,"",VLOOKUP($AA36,sez!$A$2:$C$258,2))</f>
        <v/>
      </c>
      <c r="AC36" s="24" t="str">
        <f t="shared" si="45"/>
        <v/>
      </c>
      <c r="AD36" s="24" t="str">
        <f t="shared" si="46"/>
        <v/>
      </c>
      <c r="AE36" s="122">
        <f t="shared" si="47"/>
        <v>0</v>
      </c>
      <c r="AF36" s="122">
        <f t="shared" si="48"/>
        <v>0</v>
      </c>
      <c r="AH36" s="122">
        <f t="shared" si="49"/>
        <v>0</v>
      </c>
      <c r="AI36" s="122">
        <f t="shared" si="49"/>
        <v>0</v>
      </c>
      <c r="AJ36" s="122">
        <f t="shared" si="49"/>
        <v>0</v>
      </c>
      <c r="AK36" s="122">
        <f t="shared" si="49"/>
        <v>0</v>
      </c>
      <c r="AL36" s="122">
        <f t="shared" si="49"/>
        <v>0</v>
      </c>
      <c r="AN36" s="24" t="str">
        <f>CONCATENATE("&lt;/Table&gt;&lt;/TD&gt;&lt;/TR&gt;&lt;/Table&gt;&lt;P&gt;")</f>
        <v>&lt;/Table&gt;&lt;/TD&gt;&lt;/TR&gt;&lt;/Table&gt;&lt;P&gt;</v>
      </c>
      <c r="AO36" s="24" t="str">
        <f>CONCATENATE("&lt;TR&gt;&lt;TD&gt;",A36,"&lt;TD width=200&gt;",B36,"&lt;TD&gt;",C36,"&lt;TD&gt;",D36,"&lt;TD&gt;",E36,"&lt;TD&gt;",F36,"&lt;TD&gt;",G36,"&lt;TD&gt;",H36,"&lt;/TD&gt;&lt;/TR&gt;")</f>
        <v>&lt;TR&gt;&lt;TD&gt;&lt;TD width=200&gt;&lt;TD&gt;&lt;TD&gt;&lt;TD&gt;&lt;TD&gt;XXX&lt;TD&gt;&lt;TD&gt;&lt;/TD&gt;&lt;/TR&gt;</v>
      </c>
      <c r="AP36" s="24" t="str">
        <f>CONCATENATE("&lt;TR&gt;&lt;TD&gt;",J36,"&lt;TD&gt;",K36,"&lt;/TD&gt;&lt;/TR&gt;")</f>
        <v>&lt;TR&gt;&lt;TD&gt;Hampl Petr - ----------&lt;TD&gt;&lt;/TD&gt;&lt;/TR&gt;</v>
      </c>
    </row>
    <row r="37" spans="1:42" ht="16.5" customHeight="1" thickTop="1" thickBot="1" x14ac:dyDescent="0.25">
      <c r="J37" s="24" t="str">
        <f t="shared" si="40"/>
        <v>Horníček Lukáš - Pařízek Richard</v>
      </c>
      <c r="K37" s="24" t="str">
        <f t="shared" si="41"/>
        <v>0 : 3 (-8,-2,-6)</v>
      </c>
      <c r="M37" s="121" t="str">
        <f>CONCATENATE("1.st. ",úvod!$C$8," - ",M31)</f>
        <v>1.st. U19 - muži Skupina E</v>
      </c>
      <c r="N37" s="121">
        <f>A35</f>
        <v>12</v>
      </c>
      <c r="O37" s="121" t="str">
        <f>IF($N37=0,"----------",VLOOKUP($N37,sez!$A$2:$C$258,2))</f>
        <v>Horníček Lukáš</v>
      </c>
      <c r="P37" s="121" t="str">
        <f>IF($N37=0,"",VLOOKUP($N37,sez!$A$2:$D$258,4))</f>
        <v>MS Brno</v>
      </c>
      <c r="Q37" s="121">
        <f>A33</f>
        <v>6</v>
      </c>
      <c r="R37" s="121" t="str">
        <f>IF($Q37=0,"----------",VLOOKUP($Q37,sez!$A$2:$C$258,2))</f>
        <v>Pařízek Richard</v>
      </c>
      <c r="S37" s="121" t="str">
        <f>IF($Q37=0,"",VLOOKUP($Q37,sez!$A$2:$D$258,4))</f>
        <v>SKST Hodonín</v>
      </c>
      <c r="T37" s="59" t="s">
        <v>77</v>
      </c>
      <c r="U37" s="60" t="s">
        <v>74</v>
      </c>
      <c r="V37" s="60" t="s">
        <v>81</v>
      </c>
      <c r="W37" s="60"/>
      <c r="X37" s="61"/>
      <c r="Y37" s="24">
        <f t="shared" si="42"/>
        <v>0</v>
      </c>
      <c r="Z37" s="24">
        <f t="shared" si="43"/>
        <v>3</v>
      </c>
      <c r="AA37" s="24">
        <f t="shared" si="44"/>
        <v>6</v>
      </c>
      <c r="AB37" s="24" t="str">
        <f>IF($AA37=0,"",VLOOKUP($AA37,sez!$A$2:$C$258,2))</f>
        <v>Pařízek Richard</v>
      </c>
      <c r="AC37" s="24" t="str">
        <f t="shared" si="45"/>
        <v>3:0 (8,2,6)</v>
      </c>
      <c r="AD37" s="24" t="str">
        <f t="shared" si="46"/>
        <v>3:0 (8,2,6)</v>
      </c>
      <c r="AE37" s="122">
        <f t="shared" si="47"/>
        <v>1</v>
      </c>
      <c r="AF37" s="122">
        <f t="shared" si="48"/>
        <v>2</v>
      </c>
      <c r="AH37" s="122">
        <f t="shared" si="49"/>
        <v>-1</v>
      </c>
      <c r="AI37" s="122">
        <f t="shared" si="49"/>
        <v>-1</v>
      </c>
      <c r="AJ37" s="122">
        <f t="shared" si="49"/>
        <v>-1</v>
      </c>
      <c r="AK37" s="122">
        <f t="shared" si="49"/>
        <v>0</v>
      </c>
      <c r="AL37" s="122">
        <f t="shared" si="49"/>
        <v>0</v>
      </c>
      <c r="AP37" s="24" t="str">
        <f>CONCATENATE("&lt;TR&gt;&lt;TD&gt;",J37,"&lt;TD&gt;",K37,"&lt;/TD&gt;&lt;/TR&gt;")</f>
        <v>&lt;TR&gt;&lt;TD&gt;Horníček Lukáš - Pařízek Richard&lt;TD&gt;0 : 3 (-8,-2,-6)&lt;/TD&gt;&lt;/TR&gt;</v>
      </c>
    </row>
    <row r="38" spans="1:42" ht="16.5" customHeight="1" thickTop="1" thickBot="1" x14ac:dyDescent="0.25">
      <c r="M38" s="25" t="str">
        <f>B39</f>
        <v>muži Skupina F</v>
      </c>
      <c r="N38" s="25" t="s">
        <v>0</v>
      </c>
      <c r="O38" s="25" t="s">
        <v>1</v>
      </c>
      <c r="P38" s="25" t="s">
        <v>2</v>
      </c>
      <c r="Q38" s="25" t="s">
        <v>0</v>
      </c>
      <c r="R38" s="25" t="s">
        <v>3</v>
      </c>
      <c r="S38" s="25" t="s">
        <v>2</v>
      </c>
      <c r="T38" s="26" t="s">
        <v>4</v>
      </c>
      <c r="U38" s="26" t="s">
        <v>5</v>
      </c>
      <c r="V38" s="26" t="s">
        <v>6</v>
      </c>
      <c r="W38" s="26" t="s">
        <v>7</v>
      </c>
      <c r="X38" s="26" t="s">
        <v>8</v>
      </c>
      <c r="Y38" s="25" t="s">
        <v>9</v>
      </c>
      <c r="Z38" s="25" t="s">
        <v>10</v>
      </c>
      <c r="AA38" s="25" t="s">
        <v>11</v>
      </c>
      <c r="AN38" s="24" t="s">
        <v>18</v>
      </c>
    </row>
    <row r="39" spans="1:42" ht="16.5" customHeight="1" thickTop="1" thickBot="1" x14ac:dyDescent="0.25">
      <c r="A39" s="42"/>
      <c r="B39" s="43" t="s">
        <v>105</v>
      </c>
      <c r="C39" s="44">
        <v>1</v>
      </c>
      <c r="D39" s="45">
        <v>2</v>
      </c>
      <c r="E39" s="45">
        <v>3</v>
      </c>
      <c r="F39" s="46">
        <v>4</v>
      </c>
      <c r="G39" s="47" t="s">
        <v>16</v>
      </c>
      <c r="H39" s="46" t="s">
        <v>17</v>
      </c>
      <c r="J39" s="24" t="str">
        <f t="shared" ref="J39:J44" si="50">CONCATENATE(O39," - ",R39)</f>
        <v>Němeček Radek - ----------</v>
      </c>
      <c r="K39" s="24" t="str">
        <f t="shared" ref="K39:K44" si="51">IF(SUM(Y39:Z39)=0,AD39,CONCATENATE(Y39," : ",Z39," (",T39,",",U39,",",V39,IF(Y39+Z39&gt;3,",",""),W39,IF(Y39+Z39&gt;4,",",""),X39,")"))</f>
        <v/>
      </c>
      <c r="M39" s="121" t="str">
        <f>CONCATENATE("1.st. ",úvod!$C$8," - ",M38)</f>
        <v>1.st. U19 - muži Skupina F</v>
      </c>
      <c r="N39" s="121">
        <f>A40</f>
        <v>7</v>
      </c>
      <c r="O39" s="121" t="str">
        <f>IF($N39=0,"----------",VLOOKUP($N39,sez!$A$2:$C$258,2))</f>
        <v>Němeček Radek</v>
      </c>
      <c r="P39" s="121" t="str">
        <f>IF($N39=0,"",VLOOKUP($N39,sez!$A$2:$D$258,4))</f>
        <v>MSK Břeclav</v>
      </c>
      <c r="Q39" s="121">
        <f>A43</f>
        <v>0</v>
      </c>
      <c r="R39" s="121" t="str">
        <f>IF($Q39=0,"----------",VLOOKUP($Q39,sez!$A$2:$C$258,2))</f>
        <v>----------</v>
      </c>
      <c r="S39" s="121" t="str">
        <f>IF($Q39=0,"",VLOOKUP($Q39,sez!$A$2:$D$258,4))</f>
        <v/>
      </c>
      <c r="T39" s="53"/>
      <c r="U39" s="54"/>
      <c r="V39" s="54"/>
      <c r="W39" s="54"/>
      <c r="X39" s="55"/>
      <c r="Y39" s="24">
        <f t="shared" ref="Y39:Y44" si="52">COUNTIF(AH39:AL39,"&gt;0")</f>
        <v>0</v>
      </c>
      <c r="Z39" s="24">
        <f t="shared" ref="Z39:Z44" si="53">COUNTIF(AH39:AL39,"&lt;0")</f>
        <v>0</v>
      </c>
      <c r="AA39" s="24">
        <f t="shared" ref="AA39:AA44" si="54">IF(Y39=Z39,0,IF(Y39&gt;Z39,N39,Q39))</f>
        <v>0</v>
      </c>
      <c r="AB39" s="24" t="str">
        <f>IF($AA39=0,"",VLOOKUP($AA39,sez!$A$2:$C$258,2))</f>
        <v/>
      </c>
      <c r="AC39" s="24" t="str">
        <f t="shared" ref="AC39:AC44" si="55">IF(Y39=Z39,"",IF(Y39&gt;Z39,CONCATENATE(Y39,":",Z39," (",T39,",",U39,",",V39,IF(SUM(Y39:Z39)&gt;3,",",""),W39,IF(SUM(Y39:Z39)&gt;4,",",""),X39,")"),CONCATENATE(Z39,":",Y39," (",-T39,",",-U39,",",-V39,IF(SUM(Y39:Z39)&gt;3,CONCATENATE(",",-W39),""),IF(SUM(Y39:Z39)&gt;4,CONCATENATE(",",-X39),""),")")))</f>
        <v/>
      </c>
      <c r="AD39" s="24" t="str">
        <f t="shared" ref="AD39:AD44" si="56">IF(SUM(Y39:Z39)=0,"",AC39)</f>
        <v/>
      </c>
      <c r="AE39" s="122">
        <f t="shared" ref="AE39:AE44" si="57">IF(T39="",0,IF(Y39&gt;Z39,2,1))</f>
        <v>0</v>
      </c>
      <c r="AF39" s="122">
        <f t="shared" ref="AF39:AF44" si="58">IF(T39="",0,IF(Z39&gt;Y39,2,1))</f>
        <v>0</v>
      </c>
      <c r="AH39" s="122">
        <f t="shared" ref="AH39:AL44" si="59">IF(T39="",0,IF(MID(T39,1,1)="-",-1,1))</f>
        <v>0</v>
      </c>
      <c r="AI39" s="122">
        <f t="shared" si="59"/>
        <v>0</v>
      </c>
      <c r="AJ39" s="122">
        <f t="shared" si="59"/>
        <v>0</v>
      </c>
      <c r="AK39" s="122">
        <f t="shared" si="59"/>
        <v>0</v>
      </c>
      <c r="AL39" s="122">
        <f t="shared" si="59"/>
        <v>0</v>
      </c>
      <c r="AN39" s="24" t="str">
        <f>CONCATENATE("&lt;Table border=1 cellpading=0 cellspacing=0 width=480&gt;&lt;TR&gt;&lt;TH colspan=2&gt;",B39,"&lt;TH&gt;1&lt;TH&gt;2&lt;TH&gt;3&lt;TH&gt;4&lt;TH&gt;Body&lt;TH&gt;Pořadí&lt;/TH&gt;&lt;/TR&gt;")</f>
        <v>&lt;Table border=1 cellpading=0 cellspacing=0 width=480&gt;&lt;TR&gt;&lt;TH colspan=2&gt;muži Skupina F&lt;TH&gt;1&lt;TH&gt;2&lt;TH&gt;3&lt;TH&gt;4&lt;TH&gt;Body&lt;TH&gt;Pořadí&lt;/TH&gt;&lt;/TR&gt;</v>
      </c>
      <c r="AP39" s="24" t="str">
        <f>CONCATENATE("&lt;TR&gt;&lt;TD width=250&gt;",J39,"&lt;TD&gt;",K39,"&lt;/TD&gt;&lt;/TR&gt;")</f>
        <v>&lt;TR&gt;&lt;TD width=250&gt;Němeček Radek - ----------&lt;TD&gt;&lt;/TD&gt;&lt;/TR&gt;</v>
      </c>
    </row>
    <row r="40" spans="1:42" ht="16.5" customHeight="1" thickTop="1" x14ac:dyDescent="0.2">
      <c r="A40" s="116">
        <v>7</v>
      </c>
      <c r="B40" s="37" t="str">
        <f>IF($A40="","",CONCATENATE(VLOOKUP($A40,sez!$A$2:$B$258,2)," (",VLOOKUP($A40,sez!$A$2:$E$259,4),")"))</f>
        <v>Němeček Radek (MSK Břeclav)</v>
      </c>
      <c r="C40" s="38" t="s">
        <v>23</v>
      </c>
      <c r="D40" s="39" t="str">
        <f>IF(Y42+Z42=0,"",CONCATENATE(Y42,":",Z42))</f>
        <v>3:0</v>
      </c>
      <c r="E40" s="39" t="str">
        <f>IF(Y44+Z44=0,"",CONCATENATE(Z44,":",Y44))</f>
        <v>3:0</v>
      </c>
      <c r="F40" s="40" t="str">
        <f>IF(Y39+Z39=0,"",CONCATENATE(Y39,":",Z39))</f>
        <v/>
      </c>
      <c r="G40" s="41">
        <f>IF(AE39+AE42+AF44=0,"",AE39+AE42+AF44)</f>
        <v>4</v>
      </c>
      <c r="H40" s="113">
        <v>1</v>
      </c>
      <c r="J40" s="24" t="str">
        <f t="shared" si="50"/>
        <v>Vrtěl Maxim - Šimeček Robin</v>
      </c>
      <c r="K40" s="24" t="str">
        <f t="shared" si="51"/>
        <v>0 : 3 (-8,-6,-8)</v>
      </c>
      <c r="M40" s="121" t="str">
        <f>CONCATENATE("1.st. ",úvod!$C$8," - ",M38)</f>
        <v>1.st. U19 - muži Skupina F</v>
      </c>
      <c r="N40" s="121">
        <f>A41</f>
        <v>26</v>
      </c>
      <c r="O40" s="121" t="str">
        <f>IF($N40=0,"----------",VLOOKUP($N40,sez!$A$2:$C$258,2))</f>
        <v>Vrtěl Maxim</v>
      </c>
      <c r="P40" s="121" t="str">
        <f>IF($N40=0,"",VLOOKUP($N40,sez!$A$2:$D$258,4))</f>
        <v>KST Blansko</v>
      </c>
      <c r="Q40" s="121">
        <f>A42</f>
        <v>16</v>
      </c>
      <c r="R40" s="121" t="str">
        <f>IF($Q40=0,"----------",VLOOKUP($Q40,sez!$A$2:$C$258,2))</f>
        <v>Šimeček Robin</v>
      </c>
      <c r="S40" s="121" t="str">
        <f>IF($Q40=0,"",VLOOKUP($Q40,sez!$A$2:$D$258,4))</f>
        <v>TJ Holásky</v>
      </c>
      <c r="T40" s="56" t="s">
        <v>77</v>
      </c>
      <c r="U40" s="57" t="s">
        <v>81</v>
      </c>
      <c r="V40" s="57" t="s">
        <v>77</v>
      </c>
      <c r="W40" s="57"/>
      <c r="X40" s="58"/>
      <c r="Y40" s="24">
        <f t="shared" si="52"/>
        <v>0</v>
      </c>
      <c r="Z40" s="24">
        <f t="shared" si="53"/>
        <v>3</v>
      </c>
      <c r="AA40" s="24">
        <f t="shared" si="54"/>
        <v>16</v>
      </c>
      <c r="AB40" s="24" t="str">
        <f>IF($AA40=0,"",VLOOKUP($AA40,sez!$A$2:$C$258,2))</f>
        <v>Šimeček Robin</v>
      </c>
      <c r="AC40" s="24" t="str">
        <f t="shared" si="55"/>
        <v>3:0 (8,6,8)</v>
      </c>
      <c r="AD40" s="24" t="str">
        <f t="shared" si="56"/>
        <v>3:0 (8,6,8)</v>
      </c>
      <c r="AE40" s="122">
        <f t="shared" si="57"/>
        <v>1</v>
      </c>
      <c r="AF40" s="122">
        <f t="shared" si="58"/>
        <v>2</v>
      </c>
      <c r="AH40" s="122">
        <f t="shared" si="59"/>
        <v>-1</v>
      </c>
      <c r="AI40" s="122">
        <f t="shared" si="59"/>
        <v>-1</v>
      </c>
      <c r="AJ40" s="122">
        <f t="shared" si="59"/>
        <v>-1</v>
      </c>
      <c r="AK40" s="122">
        <f t="shared" si="59"/>
        <v>0</v>
      </c>
      <c r="AL40" s="122">
        <f t="shared" si="59"/>
        <v>0</v>
      </c>
      <c r="AN40" s="24" t="str">
        <f>CONCATENATE(AO40,AO41,AO42,AO43,)</f>
        <v>&lt;TR&gt;&lt;TD&gt;7&lt;TD width=200&gt;Němeček Radek (MSK Břeclav)&lt;TD&gt;XXX&lt;TD&gt;3:0&lt;TD&gt;3:0&lt;TD&gt;&lt;TD&gt;4&lt;TD&gt;1&lt;/TD&gt;&lt;/TR&gt;&lt;TR&gt;&lt;TD&gt;26&lt;TD width=200&gt;Vrtěl Maxim (KST Blansko)&lt;TD&gt;0:3&lt;TD&gt;XXX&lt;TD&gt;0:3&lt;TD&gt;&lt;TD&gt;2&lt;TD&gt;3&lt;/TD&gt;&lt;/TR&gt;&lt;TR&gt;&lt;TD&gt;16&lt;TD width=200&gt;Šimeček Robin (TJ Holásky)&lt;TD&gt;0:3&lt;TD&gt;3:0&lt;TD&gt;XXX&lt;TD&gt;&lt;TD&gt;3&lt;TD&gt;2&lt;/TD&gt;&lt;/TR&gt;&lt;TR&gt;&lt;TD&gt;&lt;TD width=200&gt;&lt;TD&gt;&lt;TD&gt;&lt;TD&gt;&lt;TD&gt;XXX&lt;TD&gt;&lt;TD&gt;&lt;/TD&gt;&lt;/TR&gt;</v>
      </c>
      <c r="AO40" s="24" t="str">
        <f>CONCATENATE("&lt;TR&gt;&lt;TD&gt;",A40,"&lt;TD width=200&gt;",B40,"&lt;TD&gt;",C40,"&lt;TD&gt;",D40,"&lt;TD&gt;",E40,"&lt;TD&gt;",F40,"&lt;TD&gt;",G40,"&lt;TD&gt;",H40,"&lt;/TD&gt;&lt;/TR&gt;")</f>
        <v>&lt;TR&gt;&lt;TD&gt;7&lt;TD width=200&gt;Němeček Radek (MSK Břeclav)&lt;TD&gt;XXX&lt;TD&gt;3:0&lt;TD&gt;3:0&lt;TD&gt;&lt;TD&gt;4&lt;TD&gt;1&lt;/TD&gt;&lt;/TR&gt;</v>
      </c>
      <c r="AP40" s="24" t="str">
        <f>CONCATENATE("&lt;TR&gt;&lt;TD&gt;",J40,"&lt;TD&gt;",K40,"&lt;/TD&gt;&lt;/TR&gt;")</f>
        <v>&lt;TR&gt;&lt;TD&gt;Vrtěl Maxim - Šimeček Robin&lt;TD&gt;0 : 3 (-8,-6,-8)&lt;/TD&gt;&lt;/TR&gt;</v>
      </c>
    </row>
    <row r="41" spans="1:42" ht="16.5" customHeight="1" x14ac:dyDescent="0.2">
      <c r="A41" s="117">
        <v>26</v>
      </c>
      <c r="B41" s="31" t="str">
        <f>IF($A41="","",CONCATENATE(VLOOKUP($A41,sez!$A$2:$B$258,2)," (",VLOOKUP($A41,sez!$A$2:$E$259,4),")"))</f>
        <v>Vrtěl Maxim (KST Blansko)</v>
      </c>
      <c r="C41" s="35" t="str">
        <f>IF(Y42+Z42=0,"",CONCATENATE(Z42,":",Y42))</f>
        <v>0:3</v>
      </c>
      <c r="D41" s="27" t="s">
        <v>23</v>
      </c>
      <c r="E41" s="27" t="str">
        <f>IF(Y40+Z40=0,"",CONCATENATE(Y40,":",Z40))</f>
        <v>0:3</v>
      </c>
      <c r="F41" s="28" t="str">
        <f>IF(Y43+Z43=0,"",CONCATENATE(Y43,":",Z43))</f>
        <v/>
      </c>
      <c r="G41" s="33">
        <f>IF(AE40+AF42+AE43=0,"",AE40+AF42+AE43)</f>
        <v>2</v>
      </c>
      <c r="H41" s="114">
        <v>3</v>
      </c>
      <c r="J41" s="24" t="str">
        <f t="shared" si="50"/>
        <v>---------- - Šimeček Robin</v>
      </c>
      <c r="K41" s="24" t="str">
        <f t="shared" si="51"/>
        <v/>
      </c>
      <c r="M41" s="121" t="str">
        <f>CONCATENATE("1.st. ",úvod!$C$8," - ",M38)</f>
        <v>1.st. U19 - muži Skupina F</v>
      </c>
      <c r="N41" s="121">
        <f>A43</f>
        <v>0</v>
      </c>
      <c r="O41" s="121" t="str">
        <f>IF($N41=0,"----------",VLOOKUP($N41,sez!$A$2:$C$258,2))</f>
        <v>----------</v>
      </c>
      <c r="P41" s="121" t="str">
        <f>IF($N41=0,"",VLOOKUP($N41,sez!$A$2:$D$258,4))</f>
        <v/>
      </c>
      <c r="Q41" s="121">
        <f>A42</f>
        <v>16</v>
      </c>
      <c r="R41" s="121" t="str">
        <f>IF($Q41=0,"----------",VLOOKUP($Q41,sez!$A$2:$C$258,2))</f>
        <v>Šimeček Robin</v>
      </c>
      <c r="S41" s="121" t="str">
        <f>IF($Q41=0,"",VLOOKUP($Q41,sez!$A$2:$D$258,4))</f>
        <v>TJ Holásky</v>
      </c>
      <c r="T41" s="56"/>
      <c r="U41" s="57"/>
      <c r="V41" s="57"/>
      <c r="W41" s="57"/>
      <c r="X41" s="58"/>
      <c r="Y41" s="24">
        <f t="shared" si="52"/>
        <v>0</v>
      </c>
      <c r="Z41" s="24">
        <f t="shared" si="53"/>
        <v>0</v>
      </c>
      <c r="AA41" s="24">
        <f t="shared" si="54"/>
        <v>0</v>
      </c>
      <c r="AB41" s="24" t="str">
        <f>IF($AA41=0,"",VLOOKUP($AA41,sez!$A$2:$C$258,2))</f>
        <v/>
      </c>
      <c r="AC41" s="24" t="str">
        <f t="shared" si="55"/>
        <v/>
      </c>
      <c r="AD41" s="24" t="str">
        <f t="shared" si="56"/>
        <v/>
      </c>
      <c r="AE41" s="122">
        <f t="shared" si="57"/>
        <v>0</v>
      </c>
      <c r="AF41" s="122">
        <f t="shared" si="58"/>
        <v>0</v>
      </c>
      <c r="AH41" s="122">
        <f t="shared" si="59"/>
        <v>0</v>
      </c>
      <c r="AI41" s="122">
        <f t="shared" si="59"/>
        <v>0</v>
      </c>
      <c r="AJ41" s="122">
        <f t="shared" si="59"/>
        <v>0</v>
      </c>
      <c r="AK41" s="122">
        <f t="shared" si="59"/>
        <v>0</v>
      </c>
      <c r="AL41" s="122">
        <f t="shared" si="59"/>
        <v>0</v>
      </c>
      <c r="AN41" s="24" t="str">
        <f>CONCATENATE("&lt;/Table&gt;&lt;TD width=420&gt;&lt;Table&gt;")</f>
        <v>&lt;/Table&gt;&lt;TD width=420&gt;&lt;Table&gt;</v>
      </c>
      <c r="AO41" s="24" t="str">
        <f>CONCATENATE("&lt;TR&gt;&lt;TD&gt;",A41,"&lt;TD width=200&gt;",B41,"&lt;TD&gt;",C41,"&lt;TD&gt;",D41,"&lt;TD&gt;",E41,"&lt;TD&gt;",F41,"&lt;TD&gt;",G41,"&lt;TD&gt;",H41,"&lt;/TD&gt;&lt;/TR&gt;")</f>
        <v>&lt;TR&gt;&lt;TD&gt;26&lt;TD width=200&gt;Vrtěl Maxim (KST Blansko)&lt;TD&gt;0:3&lt;TD&gt;XXX&lt;TD&gt;0:3&lt;TD&gt;&lt;TD&gt;2&lt;TD&gt;3&lt;/TD&gt;&lt;/TR&gt;</v>
      </c>
      <c r="AP41" s="24" t="str">
        <f>CONCATENATE("&lt;TR&gt;&lt;TD&gt;",J41,"&lt;TD&gt;",K41,"&lt;/TD&gt;&lt;/TR&gt;")</f>
        <v>&lt;TR&gt;&lt;TD&gt;---------- - Šimeček Robin&lt;TD&gt;&lt;/TD&gt;&lt;/TR&gt;</v>
      </c>
    </row>
    <row r="42" spans="1:42" ht="16.5" customHeight="1" x14ac:dyDescent="0.2">
      <c r="A42" s="117">
        <v>16</v>
      </c>
      <c r="B42" s="31" t="str">
        <f>IF($A42="","",CONCATENATE(VLOOKUP($A42,sez!$A$2:$B$258,2)," (",VLOOKUP($A42,sez!$A$2:$E$259,4),")"))</f>
        <v>Šimeček Robin (TJ Holásky)</v>
      </c>
      <c r="C42" s="35" t="str">
        <f>IF(Y44+Z44=0,"",CONCATENATE(Y44,":",Z44))</f>
        <v>0:3</v>
      </c>
      <c r="D42" s="27" t="str">
        <f>IF(Y40+Z40=0,"",CONCATENATE(Z40,":",Y40))</f>
        <v>3:0</v>
      </c>
      <c r="E42" s="27" t="s">
        <v>23</v>
      </c>
      <c r="F42" s="28" t="str">
        <f>IF(Y41+Z41=0,"",CONCATENATE(Z41,":",Y41))</f>
        <v/>
      </c>
      <c r="G42" s="33">
        <f>IF(AF40+AF41+AE44=0,"",AF40+AF41+AE44)</f>
        <v>3</v>
      </c>
      <c r="H42" s="114">
        <v>2</v>
      </c>
      <c r="J42" s="24" t="str">
        <f t="shared" si="50"/>
        <v>Němeček Radek - Vrtěl Maxim</v>
      </c>
      <c r="K42" s="24" t="str">
        <f t="shared" si="51"/>
        <v>3 : 0 (4,1,5)</v>
      </c>
      <c r="M42" s="121" t="str">
        <f>CONCATENATE("1.st. ",úvod!$C$8," - ",M38)</f>
        <v>1.st. U19 - muži Skupina F</v>
      </c>
      <c r="N42" s="121">
        <f>A40</f>
        <v>7</v>
      </c>
      <c r="O42" s="121" t="str">
        <f>IF($N42=0,"----------",VLOOKUP($N42,sez!$A$2:$C$258,2))</f>
        <v>Němeček Radek</v>
      </c>
      <c r="P42" s="121" t="str">
        <f>IF($N42=0,"",VLOOKUP($N42,sez!$A$2:$D$258,4))</f>
        <v>MSK Břeclav</v>
      </c>
      <c r="Q42" s="121">
        <f>A41</f>
        <v>26</v>
      </c>
      <c r="R42" s="121" t="str">
        <f>IF($Q42=0,"----------",VLOOKUP($Q42,sez!$A$2:$C$258,2))</f>
        <v>Vrtěl Maxim</v>
      </c>
      <c r="S42" s="121" t="str">
        <f>IF($Q42=0,"",VLOOKUP($Q42,sez!$A$2:$D$258,4))</f>
        <v>KST Blansko</v>
      </c>
      <c r="T42" s="56" t="s">
        <v>86</v>
      </c>
      <c r="U42" s="57" t="s">
        <v>135</v>
      </c>
      <c r="V42" s="57" t="s">
        <v>70</v>
      </c>
      <c r="W42" s="57"/>
      <c r="X42" s="58"/>
      <c r="Y42" s="24">
        <f t="shared" si="52"/>
        <v>3</v>
      </c>
      <c r="Z42" s="24">
        <f t="shared" si="53"/>
        <v>0</v>
      </c>
      <c r="AA42" s="24">
        <f t="shared" si="54"/>
        <v>7</v>
      </c>
      <c r="AB42" s="24" t="str">
        <f>IF($AA42=0,"",VLOOKUP($AA42,sez!$A$2:$C$258,2))</f>
        <v>Němeček Radek</v>
      </c>
      <c r="AC42" s="24" t="str">
        <f t="shared" si="55"/>
        <v>3:0 (4,1,5)</v>
      </c>
      <c r="AD42" s="24" t="str">
        <f t="shared" si="56"/>
        <v>3:0 (4,1,5)</v>
      </c>
      <c r="AE42" s="122">
        <f t="shared" si="57"/>
        <v>2</v>
      </c>
      <c r="AF42" s="122">
        <f t="shared" si="58"/>
        <v>1</v>
      </c>
      <c r="AH42" s="122">
        <f t="shared" si="59"/>
        <v>1</v>
      </c>
      <c r="AI42" s="122">
        <f t="shared" si="59"/>
        <v>1</v>
      </c>
      <c r="AJ42" s="122">
        <f t="shared" si="59"/>
        <v>1</v>
      </c>
      <c r="AK42" s="122">
        <f t="shared" si="59"/>
        <v>0</v>
      </c>
      <c r="AL42" s="122">
        <f t="shared" si="59"/>
        <v>0</v>
      </c>
      <c r="AN42" s="24" t="str">
        <f>CONCATENATE(AP39,AP40,AP41,AP42,AP43,AP44,)</f>
        <v>&lt;TR&gt;&lt;TD width=250&gt;Němeček Radek - ----------&lt;TD&gt;&lt;/TD&gt;&lt;/TR&gt;&lt;TR&gt;&lt;TD&gt;Vrtěl Maxim - Šimeček Robin&lt;TD&gt;0 : 3 (-8,-6,-8)&lt;/TD&gt;&lt;/TR&gt;&lt;TR&gt;&lt;TD&gt;---------- - Šimeček Robin&lt;TD&gt;&lt;/TD&gt;&lt;/TR&gt;&lt;TR&gt;&lt;TD&gt;Němeček Radek - Vrtěl Maxim&lt;TD&gt;3 : 0 (4,1,5)&lt;/TD&gt;&lt;/TR&gt;&lt;TR&gt;&lt;TD&gt;Vrtěl Maxim - ----------&lt;TD&gt;&lt;/TD&gt;&lt;/TR&gt;&lt;TR&gt;&lt;TD&gt;Šimeček Robin - Němeček Radek&lt;TD&gt;0 : 3 (-5,-7,-5)&lt;/TD&gt;&lt;/TR&gt;</v>
      </c>
      <c r="AO42" s="24" t="str">
        <f>CONCATENATE("&lt;TR&gt;&lt;TD&gt;",A42,"&lt;TD width=200&gt;",B42,"&lt;TD&gt;",C42,"&lt;TD&gt;",D42,"&lt;TD&gt;",E42,"&lt;TD&gt;",F42,"&lt;TD&gt;",G42,"&lt;TD&gt;",H42,"&lt;/TD&gt;&lt;/TR&gt;")</f>
        <v>&lt;TR&gt;&lt;TD&gt;16&lt;TD width=200&gt;Šimeček Robin (TJ Holásky)&lt;TD&gt;0:3&lt;TD&gt;3:0&lt;TD&gt;XXX&lt;TD&gt;&lt;TD&gt;3&lt;TD&gt;2&lt;/TD&gt;&lt;/TR&gt;</v>
      </c>
      <c r="AP42" s="24" t="str">
        <f>CONCATENATE("&lt;TR&gt;&lt;TD&gt;",J42,"&lt;TD&gt;",K42,"&lt;/TD&gt;&lt;/TR&gt;")</f>
        <v>&lt;TR&gt;&lt;TD&gt;Němeček Radek - Vrtěl Maxim&lt;TD&gt;3 : 0 (4,1,5)&lt;/TD&gt;&lt;/TR&gt;</v>
      </c>
    </row>
    <row r="43" spans="1:42" ht="16.5" customHeight="1" thickBot="1" x14ac:dyDescent="0.25">
      <c r="A43" s="118"/>
      <c r="B43" s="32" t="str">
        <f>IF($A43="","",CONCATENATE(VLOOKUP($A43,sez!$A$2:$B$258,2)," (",VLOOKUP($A43,sez!$A$2:$E$259,4),")"))</f>
        <v/>
      </c>
      <c r="C43" s="36" t="str">
        <f>IF(Y39+Z39=0,"",CONCATENATE(Z39,":",Y39))</f>
        <v/>
      </c>
      <c r="D43" s="29" t="str">
        <f>IF(Y43+Z43=0,"",CONCATENATE(Z43,":",Y43))</f>
        <v/>
      </c>
      <c r="E43" s="29" t="str">
        <f>IF(Y41+Z41=0,"",CONCATENATE(Y41,":",Z41))</f>
        <v/>
      </c>
      <c r="F43" s="30" t="s">
        <v>23</v>
      </c>
      <c r="G43" s="34" t="str">
        <f>IF(AF39+AE41+AF43=0,"",AF39+AE41+AF43)</f>
        <v/>
      </c>
      <c r="H43" s="115"/>
      <c r="J43" s="24" t="str">
        <f t="shared" si="50"/>
        <v>Vrtěl Maxim - ----------</v>
      </c>
      <c r="K43" s="24" t="str">
        <f t="shared" si="51"/>
        <v/>
      </c>
      <c r="M43" s="121" t="str">
        <f>CONCATENATE("1.st. ",úvod!$C$8," - ",M38)</f>
        <v>1.st. U19 - muži Skupina F</v>
      </c>
      <c r="N43" s="121">
        <f>A41</f>
        <v>26</v>
      </c>
      <c r="O43" s="121" t="str">
        <f>IF($N43=0,"----------",VLOOKUP($N43,sez!$A$2:$C$258,2))</f>
        <v>Vrtěl Maxim</v>
      </c>
      <c r="P43" s="121" t="str">
        <f>IF($N43=0,"",VLOOKUP($N43,sez!$A$2:$D$258,4))</f>
        <v>KST Blansko</v>
      </c>
      <c r="Q43" s="121">
        <f>A43</f>
        <v>0</v>
      </c>
      <c r="R43" s="121" t="str">
        <f>IF($Q43=0,"----------",VLOOKUP($Q43,sez!$A$2:$C$258,2))</f>
        <v>----------</v>
      </c>
      <c r="S43" s="121" t="str">
        <f>IF($Q43=0,"",VLOOKUP($Q43,sez!$A$2:$D$258,4))</f>
        <v/>
      </c>
      <c r="T43" s="56"/>
      <c r="U43" s="57"/>
      <c r="V43" s="57"/>
      <c r="W43" s="57"/>
      <c r="X43" s="58"/>
      <c r="Y43" s="24">
        <f t="shared" si="52"/>
        <v>0</v>
      </c>
      <c r="Z43" s="24">
        <f t="shared" si="53"/>
        <v>0</v>
      </c>
      <c r="AA43" s="24">
        <f t="shared" si="54"/>
        <v>0</v>
      </c>
      <c r="AB43" s="24" t="str">
        <f>IF($AA43=0,"",VLOOKUP($AA43,sez!$A$2:$C$258,2))</f>
        <v/>
      </c>
      <c r="AC43" s="24" t="str">
        <f t="shared" si="55"/>
        <v/>
      </c>
      <c r="AD43" s="24" t="str">
        <f t="shared" si="56"/>
        <v/>
      </c>
      <c r="AE43" s="122">
        <f t="shared" si="57"/>
        <v>0</v>
      </c>
      <c r="AF43" s="122">
        <f t="shared" si="58"/>
        <v>0</v>
      </c>
      <c r="AH43" s="122">
        <f t="shared" si="59"/>
        <v>0</v>
      </c>
      <c r="AI43" s="122">
        <f t="shared" si="59"/>
        <v>0</v>
      </c>
      <c r="AJ43" s="122">
        <f t="shared" si="59"/>
        <v>0</v>
      </c>
      <c r="AK43" s="122">
        <f t="shared" si="59"/>
        <v>0</v>
      </c>
      <c r="AL43" s="122">
        <f t="shared" si="59"/>
        <v>0</v>
      </c>
      <c r="AN43" s="24" t="str">
        <f>CONCATENATE("&lt;/Table&gt;&lt;/TD&gt;&lt;/TR&gt;&lt;/Table&gt;&lt;P&gt;")</f>
        <v>&lt;/Table&gt;&lt;/TD&gt;&lt;/TR&gt;&lt;/Table&gt;&lt;P&gt;</v>
      </c>
      <c r="AO43" s="24" t="str">
        <f>CONCATENATE("&lt;TR&gt;&lt;TD&gt;",A43,"&lt;TD width=200&gt;",B43,"&lt;TD&gt;",C43,"&lt;TD&gt;",D43,"&lt;TD&gt;",E43,"&lt;TD&gt;",F43,"&lt;TD&gt;",G43,"&lt;TD&gt;",H43,"&lt;/TD&gt;&lt;/TR&gt;")</f>
        <v>&lt;TR&gt;&lt;TD&gt;&lt;TD width=200&gt;&lt;TD&gt;&lt;TD&gt;&lt;TD&gt;&lt;TD&gt;XXX&lt;TD&gt;&lt;TD&gt;&lt;/TD&gt;&lt;/TR&gt;</v>
      </c>
      <c r="AP43" s="24" t="str">
        <f>CONCATENATE("&lt;TR&gt;&lt;TD&gt;",J43,"&lt;TD&gt;",K43,"&lt;/TD&gt;&lt;/TR&gt;")</f>
        <v>&lt;TR&gt;&lt;TD&gt;Vrtěl Maxim - ----------&lt;TD&gt;&lt;/TD&gt;&lt;/TR&gt;</v>
      </c>
    </row>
    <row r="44" spans="1:42" ht="16.5" customHeight="1" thickTop="1" thickBot="1" x14ac:dyDescent="0.25">
      <c r="J44" s="24" t="str">
        <f t="shared" si="50"/>
        <v>Šimeček Robin - Němeček Radek</v>
      </c>
      <c r="K44" s="24" t="str">
        <f t="shared" si="51"/>
        <v>0 : 3 (-5,-7,-5)</v>
      </c>
      <c r="M44" s="121" t="str">
        <f>CONCATENATE("1.st. ",úvod!$C$8," - ",M38)</f>
        <v>1.st. U19 - muži Skupina F</v>
      </c>
      <c r="N44" s="121">
        <f>A42</f>
        <v>16</v>
      </c>
      <c r="O44" s="121" t="str">
        <f>IF($N44=0,"----------",VLOOKUP($N44,sez!$A$2:$C$258,2))</f>
        <v>Šimeček Robin</v>
      </c>
      <c r="P44" s="121" t="str">
        <f>IF($N44=0,"",VLOOKUP($N44,sez!$A$2:$D$258,4))</f>
        <v>TJ Holásky</v>
      </c>
      <c r="Q44" s="121">
        <f>A40</f>
        <v>7</v>
      </c>
      <c r="R44" s="121" t="str">
        <f>IF($Q44=0,"----------",VLOOKUP($Q44,sez!$A$2:$C$258,2))</f>
        <v>Němeček Radek</v>
      </c>
      <c r="S44" s="121" t="str">
        <f>IF($Q44=0,"",VLOOKUP($Q44,sez!$A$2:$D$258,4))</f>
        <v>MSK Břeclav</v>
      </c>
      <c r="T44" s="59" t="s">
        <v>80</v>
      </c>
      <c r="U44" s="60" t="s">
        <v>79</v>
      </c>
      <c r="V44" s="60" t="s">
        <v>80</v>
      </c>
      <c r="W44" s="60"/>
      <c r="X44" s="61"/>
      <c r="Y44" s="24">
        <f t="shared" si="52"/>
        <v>0</v>
      </c>
      <c r="Z44" s="24">
        <f t="shared" si="53"/>
        <v>3</v>
      </c>
      <c r="AA44" s="24">
        <f t="shared" si="54"/>
        <v>7</v>
      </c>
      <c r="AB44" s="24" t="str">
        <f>IF($AA44=0,"",VLOOKUP($AA44,sez!$A$2:$C$258,2))</f>
        <v>Němeček Radek</v>
      </c>
      <c r="AC44" s="24" t="str">
        <f t="shared" si="55"/>
        <v>3:0 (5,7,5)</v>
      </c>
      <c r="AD44" s="24" t="str">
        <f t="shared" si="56"/>
        <v>3:0 (5,7,5)</v>
      </c>
      <c r="AE44" s="122">
        <f t="shared" si="57"/>
        <v>1</v>
      </c>
      <c r="AF44" s="122">
        <f t="shared" si="58"/>
        <v>2</v>
      </c>
      <c r="AH44" s="122">
        <f t="shared" si="59"/>
        <v>-1</v>
      </c>
      <c r="AI44" s="122">
        <f t="shared" si="59"/>
        <v>-1</v>
      </c>
      <c r="AJ44" s="122">
        <f t="shared" si="59"/>
        <v>-1</v>
      </c>
      <c r="AK44" s="122">
        <f t="shared" si="59"/>
        <v>0</v>
      </c>
      <c r="AL44" s="122">
        <f t="shared" si="59"/>
        <v>0</v>
      </c>
      <c r="AP44" s="24" t="str">
        <f>CONCATENATE("&lt;TR&gt;&lt;TD&gt;",J44,"&lt;TD&gt;",K44,"&lt;/TD&gt;&lt;/TR&gt;")</f>
        <v>&lt;TR&gt;&lt;TD&gt;Šimeček Robin - Němeček Radek&lt;TD&gt;0 : 3 (-5,-7,-5)&lt;/TD&gt;&lt;/TR&gt;</v>
      </c>
    </row>
    <row r="45" spans="1:42" ht="16.5" customHeight="1" thickTop="1" thickBot="1" x14ac:dyDescent="0.25">
      <c r="M45" s="25" t="str">
        <f>B46</f>
        <v>muži Skupina G</v>
      </c>
      <c r="N45" s="25" t="s">
        <v>0</v>
      </c>
      <c r="O45" s="25" t="s">
        <v>1</v>
      </c>
      <c r="P45" s="25" t="s">
        <v>2</v>
      </c>
      <c r="Q45" s="25" t="s">
        <v>0</v>
      </c>
      <c r="R45" s="25" t="s">
        <v>3</v>
      </c>
      <c r="S45" s="25" t="s">
        <v>2</v>
      </c>
      <c r="T45" s="26" t="s">
        <v>4</v>
      </c>
      <c r="U45" s="26" t="s">
        <v>5</v>
      </c>
      <c r="V45" s="26" t="s">
        <v>6</v>
      </c>
      <c r="W45" s="26" t="s">
        <v>7</v>
      </c>
      <c r="X45" s="26" t="s">
        <v>8</v>
      </c>
      <c r="Y45" s="25" t="s">
        <v>9</v>
      </c>
      <c r="Z45" s="25" t="s">
        <v>10</v>
      </c>
      <c r="AA45" s="25" t="s">
        <v>11</v>
      </c>
      <c r="AN45" s="24" t="s">
        <v>18</v>
      </c>
    </row>
    <row r="46" spans="1:42" ht="16.5" customHeight="1" thickTop="1" thickBot="1" x14ac:dyDescent="0.25">
      <c r="A46" s="42"/>
      <c r="B46" s="43" t="s">
        <v>103</v>
      </c>
      <c r="C46" s="44">
        <v>1</v>
      </c>
      <c r="D46" s="45">
        <v>2</v>
      </c>
      <c r="E46" s="45">
        <v>3</v>
      </c>
      <c r="F46" s="46">
        <v>4</v>
      </c>
      <c r="G46" s="47" t="s">
        <v>16</v>
      </c>
      <c r="H46" s="46" t="s">
        <v>17</v>
      </c>
      <c r="J46" s="24" t="str">
        <f t="shared" ref="J46:J51" si="60">CONCATENATE(O46," - ",R46)</f>
        <v>Pokorný Martin - ----------</v>
      </c>
      <c r="K46" s="24" t="str">
        <f t="shared" ref="K46:K51" si="61">IF(SUM(Y46:Z46)=0,AD46,CONCATENATE(Y46," : ",Z46," (",T46,",",U46,",",V46,IF(Y46+Z46&gt;3,",",""),W46,IF(Y46+Z46&gt;4,",",""),X46,")"))</f>
        <v/>
      </c>
      <c r="M46" s="121" t="str">
        <f>CONCATENATE("1.st. ",úvod!$C$8," - ",M45)</f>
        <v>1.st. U19 - muži Skupina G</v>
      </c>
      <c r="N46" s="121">
        <f>A47</f>
        <v>8</v>
      </c>
      <c r="O46" s="121" t="str">
        <f>IF($N46=0,"----------",VLOOKUP($N46,sez!$A$2:$C$258,2))</f>
        <v>Pokorný Martin</v>
      </c>
      <c r="P46" s="121" t="str">
        <f>IF($N46=0,"",VLOOKUP($N46,sez!$A$2:$D$258,4))</f>
        <v>KST Blansko</v>
      </c>
      <c r="Q46" s="121">
        <f>A50</f>
        <v>0</v>
      </c>
      <c r="R46" s="121" t="str">
        <f>IF($Q46=0,"----------",VLOOKUP($Q46,sez!$A$2:$C$258,2))</f>
        <v>----------</v>
      </c>
      <c r="S46" s="121" t="str">
        <f>IF($Q46=0,"",VLOOKUP($Q46,sez!$A$2:$D$258,4))</f>
        <v/>
      </c>
      <c r="T46" s="53"/>
      <c r="U46" s="54"/>
      <c r="V46" s="54"/>
      <c r="W46" s="54"/>
      <c r="X46" s="55"/>
      <c r="Y46" s="24">
        <f t="shared" ref="Y46:Y51" si="62">COUNTIF(AH46:AL46,"&gt;0")</f>
        <v>0</v>
      </c>
      <c r="Z46" s="24">
        <f t="shared" ref="Z46:Z51" si="63">COUNTIF(AH46:AL46,"&lt;0")</f>
        <v>0</v>
      </c>
      <c r="AA46" s="24">
        <f t="shared" ref="AA46:AA51" si="64">IF(Y46=Z46,0,IF(Y46&gt;Z46,N46,Q46))</f>
        <v>0</v>
      </c>
      <c r="AB46" s="24" t="str">
        <f>IF($AA46=0,"",VLOOKUP($AA46,sez!$A$2:$C$258,2))</f>
        <v/>
      </c>
      <c r="AC46" s="24" t="str">
        <f t="shared" ref="AC46:AC51" si="65">IF(Y46=Z46,"",IF(Y46&gt;Z46,CONCATENATE(Y46,":",Z46," (",T46,",",U46,",",V46,IF(SUM(Y46:Z46)&gt;3,",",""),W46,IF(SUM(Y46:Z46)&gt;4,",",""),X46,")"),CONCATENATE(Z46,":",Y46," (",-T46,",",-U46,",",-V46,IF(SUM(Y46:Z46)&gt;3,CONCATENATE(",",-W46),""),IF(SUM(Y46:Z46)&gt;4,CONCATENATE(",",-X46),""),")")))</f>
        <v/>
      </c>
      <c r="AD46" s="24" t="str">
        <f t="shared" ref="AD46:AD51" si="66">IF(SUM(Y46:Z46)=0,"",AC46)</f>
        <v/>
      </c>
      <c r="AE46" s="122">
        <f t="shared" ref="AE46:AE51" si="67">IF(T46="",0,IF(Y46&gt;Z46,2,1))</f>
        <v>0</v>
      </c>
      <c r="AF46" s="122">
        <f t="shared" ref="AF46:AF51" si="68">IF(T46="",0,IF(Z46&gt;Y46,2,1))</f>
        <v>0</v>
      </c>
      <c r="AH46" s="122">
        <f t="shared" ref="AH46:AL51" si="69">IF(T46="",0,IF(MID(T46,1,1)="-",-1,1))</f>
        <v>0</v>
      </c>
      <c r="AI46" s="122">
        <f t="shared" si="69"/>
        <v>0</v>
      </c>
      <c r="AJ46" s="122">
        <f t="shared" si="69"/>
        <v>0</v>
      </c>
      <c r="AK46" s="122">
        <f t="shared" si="69"/>
        <v>0</v>
      </c>
      <c r="AL46" s="122">
        <f t="shared" si="69"/>
        <v>0</v>
      </c>
      <c r="AN46" s="24" t="str">
        <f>CONCATENATE("&lt;Table border=1 cellpading=0 cellspacing=0 width=480&gt;&lt;TR&gt;&lt;TH colspan=2&gt;",B46,"&lt;TH&gt;1&lt;TH&gt;2&lt;TH&gt;3&lt;TH&gt;4&lt;TH&gt;Body&lt;TH&gt;Pořadí&lt;/TH&gt;&lt;/TR&gt;")</f>
        <v>&lt;Table border=1 cellpading=0 cellspacing=0 width=480&gt;&lt;TR&gt;&lt;TH colspan=2&gt;muži Skupina G&lt;TH&gt;1&lt;TH&gt;2&lt;TH&gt;3&lt;TH&gt;4&lt;TH&gt;Body&lt;TH&gt;Pořadí&lt;/TH&gt;&lt;/TR&gt;</v>
      </c>
      <c r="AP46" s="24" t="str">
        <f>CONCATENATE("&lt;TR&gt;&lt;TD width=250&gt;",J46,"&lt;TD&gt;",K46,"&lt;/TD&gt;&lt;/TR&gt;")</f>
        <v>&lt;TR&gt;&lt;TD width=250&gt;Pokorný Martin - ----------&lt;TD&gt;&lt;/TD&gt;&lt;/TR&gt;</v>
      </c>
    </row>
    <row r="47" spans="1:42" ht="16.5" customHeight="1" thickTop="1" x14ac:dyDescent="0.2">
      <c r="A47" s="116">
        <v>8</v>
      </c>
      <c r="B47" s="37" t="str">
        <f>IF($A47="","",CONCATENATE(VLOOKUP($A47,sez!$A$2:$B$258,2)," (",VLOOKUP($A47,sez!$A$2:$E$259,4),")"))</f>
        <v>Pokorný Martin (KST Blansko)</v>
      </c>
      <c r="C47" s="38" t="s">
        <v>23</v>
      </c>
      <c r="D47" s="39" t="str">
        <f>IF(Y49+Z49=0,"",CONCATENATE(Y49,":",Z49))</f>
        <v>1:3</v>
      </c>
      <c r="E47" s="39" t="str">
        <f>IF(Y51+Z51=0,"",CONCATENATE(Z51,":",Y51))</f>
        <v>3:0</v>
      </c>
      <c r="F47" s="40" t="str">
        <f>IF(Y46+Z46=0,"",CONCATENATE(Y46,":",Z46))</f>
        <v/>
      </c>
      <c r="G47" s="41">
        <f>IF(AE46+AE49+AF51=0,"",AE46+AE49+AF51)</f>
        <v>3</v>
      </c>
      <c r="H47" s="113">
        <v>2</v>
      </c>
      <c r="J47" s="24" t="str">
        <f t="shared" si="60"/>
        <v>Chromník Martin - Havránek Ondřej</v>
      </c>
      <c r="K47" s="24" t="str">
        <f t="shared" si="61"/>
        <v>3 : 1 (6,-4,7,7)</v>
      </c>
      <c r="M47" s="121" t="str">
        <f>CONCATENATE("1.st. ",úvod!$C$8," - ",M45)</f>
        <v>1.st. U19 - muži Skupina G</v>
      </c>
      <c r="N47" s="121">
        <f>A48</f>
        <v>19</v>
      </c>
      <c r="O47" s="121" t="str">
        <f>IF($N47=0,"----------",VLOOKUP($N47,sez!$A$2:$C$258,2))</f>
        <v>Chromník Martin</v>
      </c>
      <c r="P47" s="121" t="str">
        <f>IF($N47=0,"",VLOOKUP($N47,sez!$A$2:$D$258,4))</f>
        <v>STP Mikulov</v>
      </c>
      <c r="Q47" s="121">
        <f>A49</f>
        <v>13</v>
      </c>
      <c r="R47" s="121" t="str">
        <f>IF($Q47=0,"----------",VLOOKUP($Q47,sez!$A$2:$C$258,2))</f>
        <v>Havránek Ondřej</v>
      </c>
      <c r="S47" s="121" t="str">
        <f>IF($Q47=0,"",VLOOKUP($Q47,sez!$A$2:$D$258,4))</f>
        <v>MS Brno</v>
      </c>
      <c r="T47" s="56" t="s">
        <v>83</v>
      </c>
      <c r="U47" s="57" t="s">
        <v>73</v>
      </c>
      <c r="V47" s="57" t="s">
        <v>72</v>
      </c>
      <c r="W47" s="57" t="s">
        <v>72</v>
      </c>
      <c r="X47" s="58"/>
      <c r="Y47" s="24">
        <f t="shared" si="62"/>
        <v>3</v>
      </c>
      <c r="Z47" s="24">
        <f t="shared" si="63"/>
        <v>1</v>
      </c>
      <c r="AA47" s="24">
        <f t="shared" si="64"/>
        <v>19</v>
      </c>
      <c r="AB47" s="24" t="str">
        <f>IF($AA47=0,"",VLOOKUP($AA47,sez!$A$2:$C$258,2))</f>
        <v>Chromník Martin</v>
      </c>
      <c r="AC47" s="24" t="str">
        <f t="shared" si="65"/>
        <v>3:1 (6,-4,7,7)</v>
      </c>
      <c r="AD47" s="24" t="str">
        <f t="shared" si="66"/>
        <v>3:1 (6,-4,7,7)</v>
      </c>
      <c r="AE47" s="122">
        <f t="shared" si="67"/>
        <v>2</v>
      </c>
      <c r="AF47" s="122">
        <f t="shared" si="68"/>
        <v>1</v>
      </c>
      <c r="AH47" s="122">
        <f t="shared" si="69"/>
        <v>1</v>
      </c>
      <c r="AI47" s="122">
        <f t="shared" si="69"/>
        <v>-1</v>
      </c>
      <c r="AJ47" s="122">
        <f t="shared" si="69"/>
        <v>1</v>
      </c>
      <c r="AK47" s="122">
        <f t="shared" si="69"/>
        <v>1</v>
      </c>
      <c r="AL47" s="122">
        <f t="shared" si="69"/>
        <v>0</v>
      </c>
      <c r="AN47" s="24" t="str">
        <f>CONCATENATE(AO47,AO48,AO49,AO50,)</f>
        <v>&lt;TR&gt;&lt;TD&gt;8&lt;TD width=200&gt;Pokorný Martin (KST Blansko)&lt;TD&gt;XXX&lt;TD&gt;1:3&lt;TD&gt;3:0&lt;TD&gt;&lt;TD&gt;3&lt;TD&gt;2&lt;/TD&gt;&lt;/TR&gt;&lt;TR&gt;&lt;TD&gt;19&lt;TD width=200&gt;Chromník Martin (STP Mikulov)&lt;TD&gt;3:1&lt;TD&gt;XXX&lt;TD&gt;3:1&lt;TD&gt;&lt;TD&gt;4&lt;TD&gt;1&lt;/TD&gt;&lt;/TR&gt;&lt;TR&gt;&lt;TD&gt;13&lt;TD width=200&gt;Havránek Ondřej (MS Brno)&lt;TD&gt;0:3&lt;TD&gt;1:3&lt;TD&gt;XXX&lt;TD&gt;&lt;TD&gt;2&lt;TD&gt;3&lt;/TD&gt;&lt;/TR&gt;&lt;TR&gt;&lt;TD&gt;&lt;TD width=200&gt;&lt;TD&gt;&lt;TD&gt;&lt;TD&gt;&lt;TD&gt;XXX&lt;TD&gt;&lt;TD&gt;&lt;/TD&gt;&lt;/TR&gt;</v>
      </c>
      <c r="AO47" s="24" t="str">
        <f>CONCATENATE("&lt;TR&gt;&lt;TD&gt;",A47,"&lt;TD width=200&gt;",B47,"&lt;TD&gt;",C47,"&lt;TD&gt;",D47,"&lt;TD&gt;",E47,"&lt;TD&gt;",F47,"&lt;TD&gt;",G47,"&lt;TD&gt;",H47,"&lt;/TD&gt;&lt;/TR&gt;")</f>
        <v>&lt;TR&gt;&lt;TD&gt;8&lt;TD width=200&gt;Pokorný Martin (KST Blansko)&lt;TD&gt;XXX&lt;TD&gt;1:3&lt;TD&gt;3:0&lt;TD&gt;&lt;TD&gt;3&lt;TD&gt;2&lt;/TD&gt;&lt;/TR&gt;</v>
      </c>
      <c r="AP47" s="24" t="str">
        <f>CONCATENATE("&lt;TR&gt;&lt;TD&gt;",J47,"&lt;TD&gt;",K47,"&lt;/TD&gt;&lt;/TR&gt;")</f>
        <v>&lt;TR&gt;&lt;TD&gt;Chromník Martin - Havránek Ondřej&lt;TD&gt;3 : 1 (6,-4,7,7)&lt;/TD&gt;&lt;/TR&gt;</v>
      </c>
    </row>
    <row r="48" spans="1:42" ht="16.5" customHeight="1" x14ac:dyDescent="0.2">
      <c r="A48" s="117">
        <v>19</v>
      </c>
      <c r="B48" s="31" t="str">
        <f>IF($A48="","",CONCATENATE(VLOOKUP($A48,sez!$A$2:$B$258,2)," (",VLOOKUP($A48,sez!$A$2:$E$259,4),")"))</f>
        <v>Chromník Martin (STP Mikulov)</v>
      </c>
      <c r="C48" s="35" t="str">
        <f>IF(Y49+Z49=0,"",CONCATENATE(Z49,":",Y49))</f>
        <v>3:1</v>
      </c>
      <c r="D48" s="27" t="s">
        <v>23</v>
      </c>
      <c r="E48" s="27" t="str">
        <f>IF(Y47+Z47=0,"",CONCATENATE(Y47,":",Z47))</f>
        <v>3:1</v>
      </c>
      <c r="F48" s="28" t="str">
        <f>IF(Y50+Z50=0,"",CONCATENATE(Y50,":",Z50))</f>
        <v/>
      </c>
      <c r="G48" s="33">
        <f>IF(AE47+AF49+AE50=0,"",AE47+AF49+AE50)</f>
        <v>4</v>
      </c>
      <c r="H48" s="114">
        <v>1</v>
      </c>
      <c r="J48" s="24" t="str">
        <f t="shared" si="60"/>
        <v>---------- - Havránek Ondřej</v>
      </c>
      <c r="K48" s="24" t="str">
        <f t="shared" si="61"/>
        <v/>
      </c>
      <c r="M48" s="121" t="str">
        <f>CONCATENATE("1.st. ",úvod!$C$8," - ",M45)</f>
        <v>1.st. U19 - muži Skupina G</v>
      </c>
      <c r="N48" s="121">
        <f>A50</f>
        <v>0</v>
      </c>
      <c r="O48" s="121" t="str">
        <f>IF($N48=0,"----------",VLOOKUP($N48,sez!$A$2:$C$258,2))</f>
        <v>----------</v>
      </c>
      <c r="P48" s="121" t="str">
        <f>IF($N48=0,"",VLOOKUP($N48,sez!$A$2:$D$258,4))</f>
        <v/>
      </c>
      <c r="Q48" s="121">
        <f>A49</f>
        <v>13</v>
      </c>
      <c r="R48" s="121" t="str">
        <f>IF($Q48=0,"----------",VLOOKUP($Q48,sez!$A$2:$C$258,2))</f>
        <v>Havránek Ondřej</v>
      </c>
      <c r="S48" s="121" t="str">
        <f>IF($Q48=0,"",VLOOKUP($Q48,sez!$A$2:$D$258,4))</f>
        <v>MS Brno</v>
      </c>
      <c r="T48" s="56"/>
      <c r="U48" s="57"/>
      <c r="V48" s="57"/>
      <c r="W48" s="57"/>
      <c r="X48" s="58"/>
      <c r="Y48" s="24">
        <f t="shared" si="62"/>
        <v>0</v>
      </c>
      <c r="Z48" s="24">
        <f t="shared" si="63"/>
        <v>0</v>
      </c>
      <c r="AA48" s="24">
        <f t="shared" si="64"/>
        <v>0</v>
      </c>
      <c r="AB48" s="24" t="str">
        <f>IF($AA48=0,"",VLOOKUP($AA48,sez!$A$2:$C$258,2))</f>
        <v/>
      </c>
      <c r="AC48" s="24" t="str">
        <f t="shared" si="65"/>
        <v/>
      </c>
      <c r="AD48" s="24" t="str">
        <f t="shared" si="66"/>
        <v/>
      </c>
      <c r="AE48" s="122">
        <f t="shared" si="67"/>
        <v>0</v>
      </c>
      <c r="AF48" s="122">
        <f t="shared" si="68"/>
        <v>0</v>
      </c>
      <c r="AH48" s="122">
        <f t="shared" si="69"/>
        <v>0</v>
      </c>
      <c r="AI48" s="122">
        <f t="shared" si="69"/>
        <v>0</v>
      </c>
      <c r="AJ48" s="122">
        <f t="shared" si="69"/>
        <v>0</v>
      </c>
      <c r="AK48" s="122">
        <f t="shared" si="69"/>
        <v>0</v>
      </c>
      <c r="AL48" s="122">
        <f t="shared" si="69"/>
        <v>0</v>
      </c>
      <c r="AN48" s="24" t="str">
        <f>CONCATENATE("&lt;/Table&gt;&lt;TD width=420&gt;&lt;Table&gt;")</f>
        <v>&lt;/Table&gt;&lt;TD width=420&gt;&lt;Table&gt;</v>
      </c>
      <c r="AO48" s="24" t="str">
        <f>CONCATENATE("&lt;TR&gt;&lt;TD&gt;",A48,"&lt;TD width=200&gt;",B48,"&lt;TD&gt;",C48,"&lt;TD&gt;",D48,"&lt;TD&gt;",E48,"&lt;TD&gt;",F48,"&lt;TD&gt;",G48,"&lt;TD&gt;",H48,"&lt;/TD&gt;&lt;/TR&gt;")</f>
        <v>&lt;TR&gt;&lt;TD&gt;19&lt;TD width=200&gt;Chromník Martin (STP Mikulov)&lt;TD&gt;3:1&lt;TD&gt;XXX&lt;TD&gt;3:1&lt;TD&gt;&lt;TD&gt;4&lt;TD&gt;1&lt;/TD&gt;&lt;/TR&gt;</v>
      </c>
      <c r="AP48" s="24" t="str">
        <f>CONCATENATE("&lt;TR&gt;&lt;TD&gt;",J48,"&lt;TD&gt;",K48,"&lt;/TD&gt;&lt;/TR&gt;")</f>
        <v>&lt;TR&gt;&lt;TD&gt;---------- - Havránek Ondřej&lt;TD&gt;&lt;/TD&gt;&lt;/TR&gt;</v>
      </c>
    </row>
    <row r="49" spans="1:42" ht="16.5" customHeight="1" x14ac:dyDescent="0.2">
      <c r="A49" s="117">
        <v>13</v>
      </c>
      <c r="B49" s="31" t="str">
        <f>IF($A49="","",CONCATENATE(VLOOKUP($A49,sez!$A$2:$B$258,2)," (",VLOOKUP($A49,sez!$A$2:$E$259,4),")"))</f>
        <v>Havránek Ondřej (MS Brno)</v>
      </c>
      <c r="C49" s="35" t="str">
        <f>IF(Y51+Z51=0,"",CONCATENATE(Y51,":",Z51))</f>
        <v>0:3</v>
      </c>
      <c r="D49" s="27" t="str">
        <f>IF(Y47+Z47=0,"",CONCATENATE(Z47,":",Y47))</f>
        <v>1:3</v>
      </c>
      <c r="E49" s="27" t="s">
        <v>23</v>
      </c>
      <c r="F49" s="28" t="str">
        <f>IF(Y48+Z48=0,"",CONCATENATE(Z48,":",Y48))</f>
        <v/>
      </c>
      <c r="G49" s="33">
        <f>IF(AF47+AF48+AE51=0,"",AF47+AF48+AE51)</f>
        <v>2</v>
      </c>
      <c r="H49" s="114">
        <v>3</v>
      </c>
      <c r="J49" s="24" t="str">
        <f t="shared" si="60"/>
        <v>Pokorný Martin - Chromník Martin</v>
      </c>
      <c r="K49" s="24" t="str">
        <f t="shared" si="61"/>
        <v>1 : 3 (-9,10,-8,-7)</v>
      </c>
      <c r="M49" s="121" t="str">
        <f>CONCATENATE("1.st. ",úvod!$C$8," - ",M45)</f>
        <v>1.st. U19 - muži Skupina G</v>
      </c>
      <c r="N49" s="121">
        <f>A47</f>
        <v>8</v>
      </c>
      <c r="O49" s="121" t="str">
        <f>IF($N49=0,"----------",VLOOKUP($N49,sez!$A$2:$C$258,2))</f>
        <v>Pokorný Martin</v>
      </c>
      <c r="P49" s="121" t="str">
        <f>IF($N49=0,"",VLOOKUP($N49,sez!$A$2:$D$258,4))</f>
        <v>KST Blansko</v>
      </c>
      <c r="Q49" s="121">
        <f>A48</f>
        <v>19</v>
      </c>
      <c r="R49" s="121" t="str">
        <f>IF($Q49=0,"----------",VLOOKUP($Q49,sez!$A$2:$C$258,2))</f>
        <v>Chromník Martin</v>
      </c>
      <c r="S49" s="121" t="str">
        <f>IF($Q49=0,"",VLOOKUP($Q49,sez!$A$2:$D$258,4))</f>
        <v>STP Mikulov</v>
      </c>
      <c r="T49" s="56" t="s">
        <v>75</v>
      </c>
      <c r="U49" s="57" t="s">
        <v>90</v>
      </c>
      <c r="V49" s="57" t="s">
        <v>77</v>
      </c>
      <c r="W49" s="57" t="s">
        <v>79</v>
      </c>
      <c r="X49" s="58"/>
      <c r="Y49" s="24">
        <f t="shared" si="62"/>
        <v>1</v>
      </c>
      <c r="Z49" s="24">
        <f t="shared" si="63"/>
        <v>3</v>
      </c>
      <c r="AA49" s="24">
        <f t="shared" si="64"/>
        <v>19</v>
      </c>
      <c r="AB49" s="24" t="str">
        <f>IF($AA49=0,"",VLOOKUP($AA49,sez!$A$2:$C$258,2))</f>
        <v>Chromník Martin</v>
      </c>
      <c r="AC49" s="24" t="str">
        <f t="shared" si="65"/>
        <v>3:1 (9,-10,8,7)</v>
      </c>
      <c r="AD49" s="24" t="str">
        <f t="shared" si="66"/>
        <v>3:1 (9,-10,8,7)</v>
      </c>
      <c r="AE49" s="122">
        <f t="shared" si="67"/>
        <v>1</v>
      </c>
      <c r="AF49" s="122">
        <f t="shared" si="68"/>
        <v>2</v>
      </c>
      <c r="AH49" s="122">
        <f t="shared" si="69"/>
        <v>-1</v>
      </c>
      <c r="AI49" s="122">
        <f t="shared" si="69"/>
        <v>1</v>
      </c>
      <c r="AJ49" s="122">
        <f t="shared" si="69"/>
        <v>-1</v>
      </c>
      <c r="AK49" s="122">
        <f t="shared" si="69"/>
        <v>-1</v>
      </c>
      <c r="AL49" s="122">
        <f t="shared" si="69"/>
        <v>0</v>
      </c>
      <c r="AN49" s="24" t="str">
        <f>CONCATENATE(AP46,AP47,AP48,AP49,AP50,AP51,)</f>
        <v>&lt;TR&gt;&lt;TD width=250&gt;Pokorný Martin - ----------&lt;TD&gt;&lt;/TD&gt;&lt;/TR&gt;&lt;TR&gt;&lt;TD&gt;Chromník Martin - Havránek Ondřej&lt;TD&gt;3 : 1 (6,-4,7,7)&lt;/TD&gt;&lt;/TR&gt;&lt;TR&gt;&lt;TD&gt;---------- - Havránek Ondřej&lt;TD&gt;&lt;/TD&gt;&lt;/TR&gt;&lt;TR&gt;&lt;TD&gt;Pokorný Martin - Chromník Martin&lt;TD&gt;1 : 3 (-9,10,-8,-7)&lt;/TD&gt;&lt;/TR&gt;&lt;TR&gt;&lt;TD&gt;Chromník Martin - ----------&lt;TD&gt;&lt;/TD&gt;&lt;/TR&gt;&lt;TR&gt;&lt;TD&gt;Havránek Ondřej - Pokorný Martin&lt;TD&gt;0 : 3 (-2,-10,-9)&lt;/TD&gt;&lt;/TR&gt;</v>
      </c>
      <c r="AO49" s="24" t="str">
        <f>CONCATENATE("&lt;TR&gt;&lt;TD&gt;",A49,"&lt;TD width=200&gt;",B49,"&lt;TD&gt;",C49,"&lt;TD&gt;",D49,"&lt;TD&gt;",E49,"&lt;TD&gt;",F49,"&lt;TD&gt;",G49,"&lt;TD&gt;",H49,"&lt;/TD&gt;&lt;/TR&gt;")</f>
        <v>&lt;TR&gt;&lt;TD&gt;13&lt;TD width=200&gt;Havránek Ondřej (MS Brno)&lt;TD&gt;0:3&lt;TD&gt;1:3&lt;TD&gt;XXX&lt;TD&gt;&lt;TD&gt;2&lt;TD&gt;3&lt;/TD&gt;&lt;/TR&gt;</v>
      </c>
      <c r="AP49" s="24" t="str">
        <f>CONCATENATE("&lt;TR&gt;&lt;TD&gt;",J49,"&lt;TD&gt;",K49,"&lt;/TD&gt;&lt;/TR&gt;")</f>
        <v>&lt;TR&gt;&lt;TD&gt;Pokorný Martin - Chromník Martin&lt;TD&gt;1 : 3 (-9,10,-8,-7)&lt;/TD&gt;&lt;/TR&gt;</v>
      </c>
    </row>
    <row r="50" spans="1:42" ht="16.5" customHeight="1" thickBot="1" x14ac:dyDescent="0.25">
      <c r="A50" s="118"/>
      <c r="B50" s="32" t="str">
        <f>IF($A50="","",CONCATENATE(VLOOKUP($A50,sez!$A$2:$B$258,2)," (",VLOOKUP($A50,sez!$A$2:$E$259,4),")"))</f>
        <v/>
      </c>
      <c r="C50" s="36" t="str">
        <f>IF(Y46+Z46=0,"",CONCATENATE(Z46,":",Y46))</f>
        <v/>
      </c>
      <c r="D50" s="29" t="str">
        <f>IF(Y50+Z50=0,"",CONCATENATE(Z50,":",Y50))</f>
        <v/>
      </c>
      <c r="E50" s="29" t="str">
        <f>IF(Y48+Z48=0,"",CONCATENATE(Y48,":",Z48))</f>
        <v/>
      </c>
      <c r="F50" s="30" t="s">
        <v>23</v>
      </c>
      <c r="G50" s="34" t="str">
        <f>IF(AF46+AE48+AF50=0,"",AF46+AE48+AF50)</f>
        <v/>
      </c>
      <c r="H50" s="115"/>
      <c r="J50" s="24" t="str">
        <f t="shared" si="60"/>
        <v>Chromník Martin - ----------</v>
      </c>
      <c r="K50" s="24" t="str">
        <f t="shared" si="61"/>
        <v/>
      </c>
      <c r="M50" s="121" t="str">
        <f>CONCATENATE("1.st. ",úvod!$C$8," - ",M45)</f>
        <v>1.st. U19 - muži Skupina G</v>
      </c>
      <c r="N50" s="121">
        <f>A48</f>
        <v>19</v>
      </c>
      <c r="O50" s="121" t="str">
        <f>IF($N50=0,"----------",VLOOKUP($N50,sez!$A$2:$C$258,2))</f>
        <v>Chromník Martin</v>
      </c>
      <c r="P50" s="121" t="str">
        <f>IF($N50=0,"",VLOOKUP($N50,sez!$A$2:$D$258,4))</f>
        <v>STP Mikulov</v>
      </c>
      <c r="Q50" s="121">
        <f>A50</f>
        <v>0</v>
      </c>
      <c r="R50" s="121" t="str">
        <f>IF($Q50=0,"----------",VLOOKUP($Q50,sez!$A$2:$C$258,2))</f>
        <v>----------</v>
      </c>
      <c r="S50" s="121" t="str">
        <f>IF($Q50=0,"",VLOOKUP($Q50,sez!$A$2:$D$258,4))</f>
        <v/>
      </c>
      <c r="T50" s="56"/>
      <c r="U50" s="57"/>
      <c r="V50" s="57"/>
      <c r="W50" s="57"/>
      <c r="X50" s="58"/>
      <c r="Y50" s="24">
        <f t="shared" si="62"/>
        <v>0</v>
      </c>
      <c r="Z50" s="24">
        <f t="shared" si="63"/>
        <v>0</v>
      </c>
      <c r="AA50" s="24">
        <f t="shared" si="64"/>
        <v>0</v>
      </c>
      <c r="AB50" s="24" t="str">
        <f>IF($AA50=0,"",VLOOKUP($AA50,sez!$A$2:$C$258,2))</f>
        <v/>
      </c>
      <c r="AC50" s="24" t="str">
        <f t="shared" si="65"/>
        <v/>
      </c>
      <c r="AD50" s="24" t="str">
        <f t="shared" si="66"/>
        <v/>
      </c>
      <c r="AE50" s="122">
        <f t="shared" si="67"/>
        <v>0</v>
      </c>
      <c r="AF50" s="122">
        <f t="shared" si="68"/>
        <v>0</v>
      </c>
      <c r="AH50" s="122">
        <f t="shared" si="69"/>
        <v>0</v>
      </c>
      <c r="AI50" s="122">
        <f t="shared" si="69"/>
        <v>0</v>
      </c>
      <c r="AJ50" s="122">
        <f t="shared" si="69"/>
        <v>0</v>
      </c>
      <c r="AK50" s="122">
        <f t="shared" si="69"/>
        <v>0</v>
      </c>
      <c r="AL50" s="122">
        <f t="shared" si="69"/>
        <v>0</v>
      </c>
      <c r="AN50" s="24" t="str">
        <f>CONCATENATE("&lt;/Table&gt;&lt;/TD&gt;&lt;/TR&gt;&lt;/Table&gt;&lt;P&gt;")</f>
        <v>&lt;/Table&gt;&lt;/TD&gt;&lt;/TR&gt;&lt;/Table&gt;&lt;P&gt;</v>
      </c>
      <c r="AO50" s="24" t="str">
        <f>CONCATENATE("&lt;TR&gt;&lt;TD&gt;",A50,"&lt;TD width=200&gt;",B50,"&lt;TD&gt;",C50,"&lt;TD&gt;",D50,"&lt;TD&gt;",E50,"&lt;TD&gt;",F50,"&lt;TD&gt;",G50,"&lt;TD&gt;",H50,"&lt;/TD&gt;&lt;/TR&gt;")</f>
        <v>&lt;TR&gt;&lt;TD&gt;&lt;TD width=200&gt;&lt;TD&gt;&lt;TD&gt;&lt;TD&gt;&lt;TD&gt;XXX&lt;TD&gt;&lt;TD&gt;&lt;/TD&gt;&lt;/TR&gt;</v>
      </c>
      <c r="AP50" s="24" t="str">
        <f>CONCATENATE("&lt;TR&gt;&lt;TD&gt;",J50,"&lt;TD&gt;",K50,"&lt;/TD&gt;&lt;/TR&gt;")</f>
        <v>&lt;TR&gt;&lt;TD&gt;Chromník Martin - ----------&lt;TD&gt;&lt;/TD&gt;&lt;/TR&gt;</v>
      </c>
    </row>
    <row r="51" spans="1:42" ht="16.5" customHeight="1" thickTop="1" thickBot="1" x14ac:dyDescent="0.25">
      <c r="J51" s="24" t="str">
        <f t="shared" si="60"/>
        <v>Havránek Ondřej - Pokorný Martin</v>
      </c>
      <c r="K51" s="24" t="str">
        <f t="shared" si="61"/>
        <v>0 : 3 (-2,-10,-9)</v>
      </c>
      <c r="M51" s="121" t="str">
        <f>CONCATENATE("1.st. ",úvod!$C$8," - ",M45)</f>
        <v>1.st. U19 - muži Skupina G</v>
      </c>
      <c r="N51" s="121">
        <f>A49</f>
        <v>13</v>
      </c>
      <c r="O51" s="121" t="str">
        <f>IF($N51=0,"----------",VLOOKUP($N51,sez!$A$2:$C$258,2))</f>
        <v>Havránek Ondřej</v>
      </c>
      <c r="P51" s="121" t="str">
        <f>IF($N51=0,"",VLOOKUP($N51,sez!$A$2:$D$258,4))</f>
        <v>MS Brno</v>
      </c>
      <c r="Q51" s="121">
        <f>A47</f>
        <v>8</v>
      </c>
      <c r="R51" s="121" t="str">
        <f>IF($Q51=0,"----------",VLOOKUP($Q51,sez!$A$2:$C$258,2))</f>
        <v>Pokorný Martin</v>
      </c>
      <c r="S51" s="121" t="str">
        <f>IF($Q51=0,"",VLOOKUP($Q51,sez!$A$2:$D$258,4))</f>
        <v>KST Blansko</v>
      </c>
      <c r="T51" s="59" t="s">
        <v>74</v>
      </c>
      <c r="U51" s="60" t="s">
        <v>76</v>
      </c>
      <c r="V51" s="60" t="s">
        <v>75</v>
      </c>
      <c r="W51" s="60"/>
      <c r="X51" s="61"/>
      <c r="Y51" s="24">
        <f t="shared" si="62"/>
        <v>0</v>
      </c>
      <c r="Z51" s="24">
        <f t="shared" si="63"/>
        <v>3</v>
      </c>
      <c r="AA51" s="24">
        <f t="shared" si="64"/>
        <v>8</v>
      </c>
      <c r="AB51" s="24" t="str">
        <f>IF($AA51=0,"",VLOOKUP($AA51,sez!$A$2:$C$258,2))</f>
        <v>Pokorný Martin</v>
      </c>
      <c r="AC51" s="24" t="str">
        <f t="shared" si="65"/>
        <v>3:0 (2,10,9)</v>
      </c>
      <c r="AD51" s="24" t="str">
        <f t="shared" si="66"/>
        <v>3:0 (2,10,9)</v>
      </c>
      <c r="AE51" s="122">
        <f t="shared" si="67"/>
        <v>1</v>
      </c>
      <c r="AF51" s="122">
        <f t="shared" si="68"/>
        <v>2</v>
      </c>
      <c r="AH51" s="122">
        <f t="shared" si="69"/>
        <v>-1</v>
      </c>
      <c r="AI51" s="122">
        <f t="shared" si="69"/>
        <v>-1</v>
      </c>
      <c r="AJ51" s="122">
        <f t="shared" si="69"/>
        <v>-1</v>
      </c>
      <c r="AK51" s="122">
        <f t="shared" si="69"/>
        <v>0</v>
      </c>
      <c r="AL51" s="122">
        <f t="shared" si="69"/>
        <v>0</v>
      </c>
      <c r="AP51" s="24" t="str">
        <f>CONCATENATE("&lt;TR&gt;&lt;TD&gt;",J51,"&lt;TD&gt;",K51,"&lt;/TD&gt;&lt;/TR&gt;")</f>
        <v>&lt;TR&gt;&lt;TD&gt;Havránek Ondřej - Pokorný Martin&lt;TD&gt;0 : 3 (-2,-10,-9)&lt;/TD&gt;&lt;/TR&gt;</v>
      </c>
    </row>
    <row r="52" spans="1:42" ht="16.5" customHeight="1" thickTop="1" thickBot="1" x14ac:dyDescent="0.25">
      <c r="M52" s="25" t="str">
        <f>B53</f>
        <v>muži Skupina H</v>
      </c>
      <c r="N52" s="25" t="s">
        <v>0</v>
      </c>
      <c r="O52" s="25" t="s">
        <v>1</v>
      </c>
      <c r="P52" s="25" t="s">
        <v>2</v>
      </c>
      <c r="Q52" s="25" t="s">
        <v>0</v>
      </c>
      <c r="R52" s="25" t="s">
        <v>3</v>
      </c>
      <c r="S52" s="25" t="s">
        <v>2</v>
      </c>
      <c r="T52" s="26" t="s">
        <v>4</v>
      </c>
      <c r="U52" s="26" t="s">
        <v>5</v>
      </c>
      <c r="V52" s="26" t="s">
        <v>6</v>
      </c>
      <c r="W52" s="26" t="s">
        <v>7</v>
      </c>
      <c r="X52" s="26" t="s">
        <v>8</v>
      </c>
      <c r="Y52" s="25" t="s">
        <v>9</v>
      </c>
      <c r="Z52" s="25" t="s">
        <v>10</v>
      </c>
      <c r="AA52" s="25" t="s">
        <v>11</v>
      </c>
      <c r="AN52" s="24" t="s">
        <v>18</v>
      </c>
    </row>
    <row r="53" spans="1:42" ht="16.5" customHeight="1" thickTop="1" thickBot="1" x14ac:dyDescent="0.25">
      <c r="A53" s="42"/>
      <c r="B53" s="43" t="s">
        <v>104</v>
      </c>
      <c r="C53" s="44">
        <v>1</v>
      </c>
      <c r="D53" s="45">
        <v>2</v>
      </c>
      <c r="E53" s="45">
        <v>3</v>
      </c>
      <c r="F53" s="46">
        <v>4</v>
      </c>
      <c r="G53" s="47" t="s">
        <v>16</v>
      </c>
      <c r="H53" s="46" t="s">
        <v>17</v>
      </c>
      <c r="J53" s="24" t="str">
        <f t="shared" ref="J53:J58" si="70">CONCATENATE(O53," - ",R53)</f>
        <v>---------- - ----------</v>
      </c>
      <c r="K53" s="24" t="str">
        <f t="shared" ref="K53:K58" si="71">IF(SUM(Y53:Z53)=0,AD53,CONCATENATE(Y53," : ",Z53," (",T53,",",U53,",",V53,IF(Y53+Z53&gt;3,",",""),W53,IF(Y53+Z53&gt;4,",",""),X53,")"))</f>
        <v/>
      </c>
      <c r="M53" s="121" t="str">
        <f>CONCATENATE("1.st. ",úvod!$C$8," - ",M52)</f>
        <v>1.st. U19 - muži Skupina H</v>
      </c>
      <c r="N53" s="121">
        <f>A54</f>
        <v>0</v>
      </c>
      <c r="O53" s="121" t="str">
        <f>IF($N53=0,"----------",VLOOKUP($N53,sez!$A$2:$C$258,2))</f>
        <v>----------</v>
      </c>
      <c r="P53" s="121" t="str">
        <f>IF($N53=0,"",VLOOKUP($N53,sez!$A$2:$D$258,4))</f>
        <v/>
      </c>
      <c r="Q53" s="121">
        <f>A57</f>
        <v>0</v>
      </c>
      <c r="R53" s="121" t="str">
        <f>IF($Q53=0,"----------",VLOOKUP($Q53,sez!$A$2:$C$258,2))</f>
        <v>----------</v>
      </c>
      <c r="S53" s="121" t="str">
        <f>IF($Q53=0,"",VLOOKUP($Q53,sez!$A$2:$D$258,4))</f>
        <v/>
      </c>
      <c r="T53" s="53"/>
      <c r="U53" s="54"/>
      <c r="V53" s="54"/>
      <c r="W53" s="54"/>
      <c r="X53" s="55"/>
      <c r="Y53" s="24">
        <f t="shared" ref="Y53:Y58" si="72">COUNTIF(AH53:AL53,"&gt;0")</f>
        <v>0</v>
      </c>
      <c r="Z53" s="24">
        <f t="shared" ref="Z53:Z58" si="73">COUNTIF(AH53:AL53,"&lt;0")</f>
        <v>0</v>
      </c>
      <c r="AA53" s="24">
        <f t="shared" ref="AA53:AA58" si="74">IF(Y53=Z53,0,IF(Y53&gt;Z53,N53,Q53))</f>
        <v>0</v>
      </c>
      <c r="AB53" s="24" t="str">
        <f>IF($AA53=0,"",VLOOKUP($AA53,sez!$A$2:$C$258,2))</f>
        <v/>
      </c>
      <c r="AC53" s="24" t="str">
        <f t="shared" ref="AC53:AC58" si="75">IF(Y53=Z53,"",IF(Y53&gt;Z53,CONCATENATE(Y53,":",Z53," (",T53,",",U53,",",V53,IF(SUM(Y53:Z53)&gt;3,",",""),W53,IF(SUM(Y53:Z53)&gt;4,",",""),X53,")"),CONCATENATE(Z53,":",Y53," (",-T53,",",-U53,",",-V53,IF(SUM(Y53:Z53)&gt;3,CONCATENATE(",",-W53),""),IF(SUM(Y53:Z53)&gt;4,CONCATENATE(",",-X53),""),")")))</f>
        <v/>
      </c>
      <c r="AD53" s="24" t="str">
        <f t="shared" ref="AD53:AD58" si="76">IF(SUM(Y53:Z53)=0,"",AC53)</f>
        <v/>
      </c>
      <c r="AE53" s="122">
        <f t="shared" ref="AE53:AE58" si="77">IF(T53="",0,IF(Y53&gt;Z53,2,1))</f>
        <v>0</v>
      </c>
      <c r="AF53" s="122">
        <f t="shared" ref="AF53:AF58" si="78">IF(T53="",0,IF(Z53&gt;Y53,2,1))</f>
        <v>0</v>
      </c>
      <c r="AH53" s="122">
        <f t="shared" ref="AH53:AL58" si="79">IF(T53="",0,IF(MID(T53,1,1)="-",-1,1))</f>
        <v>0</v>
      </c>
      <c r="AI53" s="122">
        <f t="shared" si="79"/>
        <v>0</v>
      </c>
      <c r="AJ53" s="122">
        <f t="shared" si="79"/>
        <v>0</v>
      </c>
      <c r="AK53" s="122">
        <f t="shared" si="79"/>
        <v>0</v>
      </c>
      <c r="AL53" s="122">
        <f t="shared" si="79"/>
        <v>0</v>
      </c>
      <c r="AN53" s="24" t="str">
        <f>CONCATENATE("&lt;Table border=1 cellpading=0 cellspacing=0 width=480&gt;&lt;TR&gt;&lt;TH colspan=2&gt;",B53,"&lt;TH&gt;1&lt;TH&gt;2&lt;TH&gt;3&lt;TH&gt;4&lt;TH&gt;Body&lt;TH&gt;Pořadí&lt;/TH&gt;&lt;/TR&gt;")</f>
        <v>&lt;Table border=1 cellpading=0 cellspacing=0 width=480&gt;&lt;TR&gt;&lt;TH colspan=2&gt;muži Skupina H&lt;TH&gt;1&lt;TH&gt;2&lt;TH&gt;3&lt;TH&gt;4&lt;TH&gt;Body&lt;TH&gt;Pořadí&lt;/TH&gt;&lt;/TR&gt;</v>
      </c>
      <c r="AP53" s="24" t="str">
        <f>CONCATENATE("&lt;TR&gt;&lt;TD width=250&gt;",J53,"&lt;TD&gt;",K53,"&lt;/TD&gt;&lt;/TR&gt;")</f>
        <v>&lt;TR&gt;&lt;TD width=250&gt;---------- - ----------&lt;TD&gt;&lt;/TD&gt;&lt;/TR&gt;</v>
      </c>
    </row>
    <row r="54" spans="1:42" ht="16.5" customHeight="1" thickTop="1" x14ac:dyDescent="0.2">
      <c r="A54" s="116"/>
      <c r="B54" s="37" t="str">
        <f>IF($A54="","",CONCATENATE(VLOOKUP($A54,sez!$A$2:$B$258,2)," (",VLOOKUP($A54,sez!$A$2:$E$259,4),")"))</f>
        <v/>
      </c>
      <c r="C54" s="38" t="s">
        <v>23</v>
      </c>
      <c r="D54" s="39" t="str">
        <f>IF(Y56+Z56=0,"",CONCATENATE(Y56,":",Z56))</f>
        <v/>
      </c>
      <c r="E54" s="39" t="str">
        <f>IF(Y58+Z58=0,"",CONCATENATE(Z58,":",Y58))</f>
        <v/>
      </c>
      <c r="F54" s="40" t="str">
        <f>IF(Y53+Z53=0,"",CONCATENATE(Y53,":",Z53))</f>
        <v/>
      </c>
      <c r="G54" s="41" t="str">
        <f>IF(AE53+AE56+AF58=0,"",AE53+AE56+AF58)</f>
        <v/>
      </c>
      <c r="H54" s="113"/>
      <c r="J54" s="24" t="str">
        <f t="shared" si="70"/>
        <v>---------- - ----------</v>
      </c>
      <c r="K54" s="24" t="str">
        <f t="shared" si="71"/>
        <v/>
      </c>
      <c r="M54" s="121" t="str">
        <f>CONCATENATE("1.st. ",úvod!$C$8," - ",M52)</f>
        <v>1.st. U19 - muži Skupina H</v>
      </c>
      <c r="N54" s="121">
        <f>A55</f>
        <v>0</v>
      </c>
      <c r="O54" s="121" t="str">
        <f>IF($N54=0,"----------",VLOOKUP($N54,sez!$A$2:$C$258,2))</f>
        <v>----------</v>
      </c>
      <c r="P54" s="121" t="str">
        <f>IF($N54=0,"",VLOOKUP($N54,sez!$A$2:$D$258,4))</f>
        <v/>
      </c>
      <c r="Q54" s="121">
        <f>A56</f>
        <v>0</v>
      </c>
      <c r="R54" s="121" t="str">
        <f>IF($Q54=0,"----------",VLOOKUP($Q54,sez!$A$2:$C$258,2))</f>
        <v>----------</v>
      </c>
      <c r="S54" s="121" t="str">
        <f>IF($Q54=0,"",VLOOKUP($Q54,sez!$A$2:$D$258,4))</f>
        <v/>
      </c>
      <c r="T54" s="56"/>
      <c r="U54" s="57"/>
      <c r="V54" s="57"/>
      <c r="W54" s="57"/>
      <c r="X54" s="58"/>
      <c r="Y54" s="24">
        <f t="shared" si="72"/>
        <v>0</v>
      </c>
      <c r="Z54" s="24">
        <f t="shared" si="73"/>
        <v>0</v>
      </c>
      <c r="AA54" s="24">
        <f t="shared" si="74"/>
        <v>0</v>
      </c>
      <c r="AB54" s="24" t="str">
        <f>IF($AA54=0,"",VLOOKUP($AA54,sez!$A$2:$C$258,2))</f>
        <v/>
      </c>
      <c r="AC54" s="24" t="str">
        <f t="shared" si="75"/>
        <v/>
      </c>
      <c r="AD54" s="24" t="str">
        <f t="shared" si="76"/>
        <v/>
      </c>
      <c r="AE54" s="122">
        <f t="shared" si="77"/>
        <v>0</v>
      </c>
      <c r="AF54" s="122">
        <f t="shared" si="78"/>
        <v>0</v>
      </c>
      <c r="AH54" s="122">
        <f t="shared" si="79"/>
        <v>0</v>
      </c>
      <c r="AI54" s="122">
        <f t="shared" si="79"/>
        <v>0</v>
      </c>
      <c r="AJ54" s="122">
        <f t="shared" si="79"/>
        <v>0</v>
      </c>
      <c r="AK54" s="122">
        <f t="shared" si="79"/>
        <v>0</v>
      </c>
      <c r="AL54" s="122">
        <f t="shared" si="79"/>
        <v>0</v>
      </c>
      <c r="AN54" s="24" t="str">
        <f>CONCATENATE(AO54,AO55,AO56,AO57,)</f>
        <v>&lt;TR&gt;&lt;TD&gt;&lt;TD width=200&gt;&lt;TD&gt;XXX&lt;TD&gt;&lt;TD&gt;&lt;TD&gt;&lt;TD&gt;&lt;TD&gt;&lt;/TD&gt;&lt;/TR&gt;&lt;TR&gt;&lt;TD&gt;&lt;TD width=200&gt;&lt;TD&gt;&lt;TD&gt;XXX&lt;TD&gt;&lt;TD&gt;&lt;TD&gt;&lt;TD&gt;&lt;/TD&gt;&lt;/TR&gt;&lt;TR&gt;&lt;TD&gt;&lt;TD width=200&gt;&lt;TD&gt;&lt;TD&gt;&lt;TD&gt;XXX&lt;TD&gt;&lt;TD&gt;&lt;TD&gt;&lt;/TD&gt;&lt;/TR&gt;&lt;TR&gt;&lt;TD&gt;&lt;TD width=200&gt;&lt;TD&gt;&lt;TD&gt;&lt;TD&gt;&lt;TD&gt;XXX&lt;TD&gt;&lt;TD&gt;&lt;/TD&gt;&lt;/TR&gt;</v>
      </c>
      <c r="AO54" s="24" t="str">
        <f>CONCATENATE("&lt;TR&gt;&lt;TD&gt;",A54,"&lt;TD width=200&gt;",B54,"&lt;TD&gt;",C54,"&lt;TD&gt;",D54,"&lt;TD&gt;",E54,"&lt;TD&gt;",F54,"&lt;TD&gt;",G54,"&lt;TD&gt;",H54,"&lt;/TD&gt;&lt;/TR&gt;")</f>
        <v>&lt;TR&gt;&lt;TD&gt;&lt;TD width=200&gt;&lt;TD&gt;XXX&lt;TD&gt;&lt;TD&gt;&lt;TD&gt;&lt;TD&gt;&lt;TD&gt;&lt;/TD&gt;&lt;/TR&gt;</v>
      </c>
      <c r="AP54" s="24" t="str">
        <f>CONCATENATE("&lt;TR&gt;&lt;TD&gt;",J54,"&lt;TD&gt;",K54,"&lt;/TD&gt;&lt;/TR&gt;")</f>
        <v>&lt;TR&gt;&lt;TD&gt;---------- - ----------&lt;TD&gt;&lt;/TD&gt;&lt;/TR&gt;</v>
      </c>
    </row>
    <row r="55" spans="1:42" ht="16.5" customHeight="1" x14ac:dyDescent="0.2">
      <c r="A55" s="117"/>
      <c r="B55" s="31" t="str">
        <f>IF($A55="","",CONCATENATE(VLOOKUP($A55,sez!$A$2:$B$258,2)," (",VLOOKUP($A55,sez!$A$2:$E$259,4),")"))</f>
        <v/>
      </c>
      <c r="C55" s="35" t="str">
        <f>IF(Y56+Z56=0,"",CONCATENATE(Z56,":",Y56))</f>
        <v/>
      </c>
      <c r="D55" s="27" t="s">
        <v>23</v>
      </c>
      <c r="E55" s="27" t="str">
        <f>IF(Y54+Z54=0,"",CONCATENATE(Y54,":",Z54))</f>
        <v/>
      </c>
      <c r="F55" s="28" t="str">
        <f>IF(Y57+Z57=0,"",CONCATENATE(Y57,":",Z57))</f>
        <v/>
      </c>
      <c r="G55" s="33" t="str">
        <f>IF(AE54+AF56+AE57=0,"",AE54+AF56+AE57)</f>
        <v/>
      </c>
      <c r="H55" s="114"/>
      <c r="J55" s="24" t="str">
        <f t="shared" si="70"/>
        <v>---------- - ----------</v>
      </c>
      <c r="K55" s="24" t="str">
        <f t="shared" si="71"/>
        <v/>
      </c>
      <c r="M55" s="121" t="str">
        <f>CONCATENATE("1.st. ",úvod!$C$8," - ",M52)</f>
        <v>1.st. U19 - muži Skupina H</v>
      </c>
      <c r="N55" s="121">
        <f>A57</f>
        <v>0</v>
      </c>
      <c r="O55" s="121" t="str">
        <f>IF($N55=0,"----------",VLOOKUP($N55,sez!$A$2:$C$258,2))</f>
        <v>----------</v>
      </c>
      <c r="P55" s="121" t="str">
        <f>IF($N55=0,"",VLOOKUP($N55,sez!$A$2:$D$258,4))</f>
        <v/>
      </c>
      <c r="Q55" s="121">
        <f>A56</f>
        <v>0</v>
      </c>
      <c r="R55" s="121" t="str">
        <f>IF($Q55=0,"----------",VLOOKUP($Q55,sez!$A$2:$C$258,2))</f>
        <v>----------</v>
      </c>
      <c r="S55" s="121" t="str">
        <f>IF($Q55=0,"",VLOOKUP($Q55,sez!$A$2:$D$258,4))</f>
        <v/>
      </c>
      <c r="T55" s="56"/>
      <c r="U55" s="57"/>
      <c r="V55" s="57"/>
      <c r="W55" s="57"/>
      <c r="X55" s="58"/>
      <c r="Y55" s="24">
        <f t="shared" si="72"/>
        <v>0</v>
      </c>
      <c r="Z55" s="24">
        <f t="shared" si="73"/>
        <v>0</v>
      </c>
      <c r="AA55" s="24">
        <f t="shared" si="74"/>
        <v>0</v>
      </c>
      <c r="AB55" s="24" t="str">
        <f>IF($AA55=0,"",VLOOKUP($AA55,sez!$A$2:$C$258,2))</f>
        <v/>
      </c>
      <c r="AC55" s="24" t="str">
        <f t="shared" si="75"/>
        <v/>
      </c>
      <c r="AD55" s="24" t="str">
        <f t="shared" si="76"/>
        <v/>
      </c>
      <c r="AE55" s="122">
        <f t="shared" si="77"/>
        <v>0</v>
      </c>
      <c r="AF55" s="122">
        <f t="shared" si="78"/>
        <v>0</v>
      </c>
      <c r="AH55" s="122">
        <f t="shared" si="79"/>
        <v>0</v>
      </c>
      <c r="AI55" s="122">
        <f t="shared" si="79"/>
        <v>0</v>
      </c>
      <c r="AJ55" s="122">
        <f t="shared" si="79"/>
        <v>0</v>
      </c>
      <c r="AK55" s="122">
        <f t="shared" si="79"/>
        <v>0</v>
      </c>
      <c r="AL55" s="122">
        <f t="shared" si="79"/>
        <v>0</v>
      </c>
      <c r="AN55" s="24" t="str">
        <f>CONCATENATE("&lt;/Table&gt;&lt;TD width=420&gt;&lt;Table&gt;")</f>
        <v>&lt;/Table&gt;&lt;TD width=420&gt;&lt;Table&gt;</v>
      </c>
      <c r="AO55" s="24" t="str">
        <f>CONCATENATE("&lt;TR&gt;&lt;TD&gt;",A55,"&lt;TD width=200&gt;",B55,"&lt;TD&gt;",C55,"&lt;TD&gt;",D55,"&lt;TD&gt;",E55,"&lt;TD&gt;",F55,"&lt;TD&gt;",G55,"&lt;TD&gt;",H55,"&lt;/TD&gt;&lt;/TR&gt;")</f>
        <v>&lt;TR&gt;&lt;TD&gt;&lt;TD width=200&gt;&lt;TD&gt;&lt;TD&gt;XXX&lt;TD&gt;&lt;TD&gt;&lt;TD&gt;&lt;TD&gt;&lt;/TD&gt;&lt;/TR&gt;</v>
      </c>
      <c r="AP55" s="24" t="str">
        <f>CONCATENATE("&lt;TR&gt;&lt;TD&gt;",J55,"&lt;TD&gt;",K55,"&lt;/TD&gt;&lt;/TR&gt;")</f>
        <v>&lt;TR&gt;&lt;TD&gt;---------- - ----------&lt;TD&gt;&lt;/TD&gt;&lt;/TR&gt;</v>
      </c>
    </row>
    <row r="56" spans="1:42" ht="16.5" customHeight="1" x14ac:dyDescent="0.2">
      <c r="A56" s="117"/>
      <c r="B56" s="31" t="str">
        <f>IF($A56="","",CONCATENATE(VLOOKUP($A56,sez!$A$2:$B$258,2)," (",VLOOKUP($A56,sez!$A$2:$E$259,4),")"))</f>
        <v/>
      </c>
      <c r="C56" s="35" t="str">
        <f>IF(Y58+Z58=0,"",CONCATENATE(Y58,":",Z58))</f>
        <v/>
      </c>
      <c r="D56" s="27" t="str">
        <f>IF(Y54+Z54=0,"",CONCATENATE(Z54,":",Y54))</f>
        <v/>
      </c>
      <c r="E56" s="27" t="s">
        <v>23</v>
      </c>
      <c r="F56" s="28" t="str">
        <f>IF(Y55+Z55=0,"",CONCATENATE(Z55,":",Y55))</f>
        <v/>
      </c>
      <c r="G56" s="33" t="str">
        <f>IF(AF54+AF55+AE58=0,"",AF54+AF55+AE58)</f>
        <v/>
      </c>
      <c r="H56" s="114"/>
      <c r="J56" s="24" t="str">
        <f t="shared" si="70"/>
        <v>---------- - ----------</v>
      </c>
      <c r="K56" s="24" t="str">
        <f t="shared" si="71"/>
        <v/>
      </c>
      <c r="M56" s="121" t="str">
        <f>CONCATENATE("1.st. ",úvod!$C$8," - ",M52)</f>
        <v>1.st. U19 - muži Skupina H</v>
      </c>
      <c r="N56" s="121">
        <f>A54</f>
        <v>0</v>
      </c>
      <c r="O56" s="121" t="str">
        <f>IF($N56=0,"----------",VLOOKUP($N56,sez!$A$2:$C$258,2))</f>
        <v>----------</v>
      </c>
      <c r="P56" s="121" t="str">
        <f>IF($N56=0,"",VLOOKUP($N56,sez!$A$2:$D$258,4))</f>
        <v/>
      </c>
      <c r="Q56" s="121">
        <f>A55</f>
        <v>0</v>
      </c>
      <c r="R56" s="121" t="str">
        <f>IF($Q56=0,"----------",VLOOKUP($Q56,sez!$A$2:$C$258,2))</f>
        <v>----------</v>
      </c>
      <c r="S56" s="121" t="str">
        <f>IF($Q56=0,"",VLOOKUP($Q56,sez!$A$2:$D$258,4))</f>
        <v/>
      </c>
      <c r="T56" s="56"/>
      <c r="U56" s="57"/>
      <c r="V56" s="57"/>
      <c r="W56" s="57"/>
      <c r="X56" s="58"/>
      <c r="Y56" s="24">
        <f t="shared" si="72"/>
        <v>0</v>
      </c>
      <c r="Z56" s="24">
        <f t="shared" si="73"/>
        <v>0</v>
      </c>
      <c r="AA56" s="24">
        <f t="shared" si="74"/>
        <v>0</v>
      </c>
      <c r="AB56" s="24" t="str">
        <f>IF($AA56=0,"",VLOOKUP($AA56,sez!$A$2:$C$258,2))</f>
        <v/>
      </c>
      <c r="AC56" s="24" t="str">
        <f t="shared" si="75"/>
        <v/>
      </c>
      <c r="AD56" s="24" t="str">
        <f t="shared" si="76"/>
        <v/>
      </c>
      <c r="AE56" s="122">
        <f t="shared" si="77"/>
        <v>0</v>
      </c>
      <c r="AF56" s="122">
        <f t="shared" si="78"/>
        <v>0</v>
      </c>
      <c r="AH56" s="122">
        <f t="shared" si="79"/>
        <v>0</v>
      </c>
      <c r="AI56" s="122">
        <f t="shared" si="79"/>
        <v>0</v>
      </c>
      <c r="AJ56" s="122">
        <f t="shared" si="79"/>
        <v>0</v>
      </c>
      <c r="AK56" s="122">
        <f t="shared" si="79"/>
        <v>0</v>
      </c>
      <c r="AL56" s="122">
        <f t="shared" si="79"/>
        <v>0</v>
      </c>
      <c r="AN56" s="24" t="str">
        <f>CONCATENATE(AP53,AP54,AP55,AP56,AP57,AP58,)</f>
        <v>&lt;TR&gt;&lt;TD width=250&gt;---------- - ----------&lt;TD&gt;&lt;/TD&gt;&lt;/TR&gt;&lt;TR&gt;&lt;TD&gt;---------- - ----------&lt;TD&gt;&lt;/TD&gt;&lt;/TR&gt;&lt;TR&gt;&lt;TD&gt;---------- - ----------&lt;TD&gt;&lt;/TD&gt;&lt;/TR&gt;&lt;TR&gt;&lt;TD&gt;---------- - ----------&lt;TD&gt;&lt;/TD&gt;&lt;/TR&gt;&lt;TR&gt;&lt;TD&gt;---------- - ----------&lt;TD&gt;&lt;/TD&gt;&lt;/TR&gt;&lt;TR&gt;&lt;TD&gt;---------- - ----------&lt;TD&gt;&lt;/TD&gt;&lt;/TR&gt;</v>
      </c>
      <c r="AO56" s="24" t="str">
        <f>CONCATENATE("&lt;TR&gt;&lt;TD&gt;",A56,"&lt;TD width=200&gt;",B56,"&lt;TD&gt;",C56,"&lt;TD&gt;",D56,"&lt;TD&gt;",E56,"&lt;TD&gt;",F56,"&lt;TD&gt;",G56,"&lt;TD&gt;",H56,"&lt;/TD&gt;&lt;/TR&gt;")</f>
        <v>&lt;TR&gt;&lt;TD&gt;&lt;TD width=200&gt;&lt;TD&gt;&lt;TD&gt;&lt;TD&gt;XXX&lt;TD&gt;&lt;TD&gt;&lt;TD&gt;&lt;/TD&gt;&lt;/TR&gt;</v>
      </c>
      <c r="AP56" s="24" t="str">
        <f>CONCATENATE("&lt;TR&gt;&lt;TD&gt;",J56,"&lt;TD&gt;",K56,"&lt;/TD&gt;&lt;/TR&gt;")</f>
        <v>&lt;TR&gt;&lt;TD&gt;---------- - ----------&lt;TD&gt;&lt;/TD&gt;&lt;/TR&gt;</v>
      </c>
    </row>
    <row r="57" spans="1:42" ht="16.5" customHeight="1" thickBot="1" x14ac:dyDescent="0.25">
      <c r="A57" s="118"/>
      <c r="B57" s="32" t="str">
        <f>IF($A57="","",CONCATENATE(VLOOKUP($A57,sez!$A$2:$B$258,2)," (",VLOOKUP($A57,sez!$A$2:$E$259,4),")"))</f>
        <v/>
      </c>
      <c r="C57" s="36" t="str">
        <f>IF(Y53+Z53=0,"",CONCATENATE(Z53,":",Y53))</f>
        <v/>
      </c>
      <c r="D57" s="29" t="str">
        <f>IF(Y57+Z57=0,"",CONCATENATE(Z57,":",Y57))</f>
        <v/>
      </c>
      <c r="E57" s="29" t="str">
        <f>IF(Y55+Z55=0,"",CONCATENATE(Y55,":",Z55))</f>
        <v/>
      </c>
      <c r="F57" s="30" t="s">
        <v>23</v>
      </c>
      <c r="G57" s="34" t="str">
        <f>IF(AF53+AE55+AF57=0,"",AF53+AE55+AF57)</f>
        <v/>
      </c>
      <c r="H57" s="115"/>
      <c r="J57" s="24" t="str">
        <f t="shared" si="70"/>
        <v>---------- - ----------</v>
      </c>
      <c r="K57" s="24" t="str">
        <f t="shared" si="71"/>
        <v/>
      </c>
      <c r="M57" s="121" t="str">
        <f>CONCATENATE("1.st. ",úvod!$C$8," - ",M52)</f>
        <v>1.st. U19 - muži Skupina H</v>
      </c>
      <c r="N57" s="121">
        <f>A55</f>
        <v>0</v>
      </c>
      <c r="O57" s="121" t="str">
        <f>IF($N57=0,"----------",VLOOKUP($N57,sez!$A$2:$C$258,2))</f>
        <v>----------</v>
      </c>
      <c r="P57" s="121" t="str">
        <f>IF($N57=0,"",VLOOKUP($N57,sez!$A$2:$D$258,4))</f>
        <v/>
      </c>
      <c r="Q57" s="121">
        <f>A57</f>
        <v>0</v>
      </c>
      <c r="R57" s="121" t="str">
        <f>IF($Q57=0,"----------",VLOOKUP($Q57,sez!$A$2:$C$258,2))</f>
        <v>----------</v>
      </c>
      <c r="S57" s="121" t="str">
        <f>IF($Q57=0,"",VLOOKUP($Q57,sez!$A$2:$D$258,4))</f>
        <v/>
      </c>
      <c r="T57" s="56"/>
      <c r="U57" s="57"/>
      <c r="V57" s="57"/>
      <c r="W57" s="57"/>
      <c r="X57" s="58"/>
      <c r="Y57" s="24">
        <f t="shared" si="72"/>
        <v>0</v>
      </c>
      <c r="Z57" s="24">
        <f t="shared" si="73"/>
        <v>0</v>
      </c>
      <c r="AA57" s="24">
        <f t="shared" si="74"/>
        <v>0</v>
      </c>
      <c r="AB57" s="24" t="str">
        <f>IF($AA57=0,"",VLOOKUP($AA57,sez!$A$2:$C$258,2))</f>
        <v/>
      </c>
      <c r="AC57" s="24" t="str">
        <f t="shared" si="75"/>
        <v/>
      </c>
      <c r="AD57" s="24" t="str">
        <f t="shared" si="76"/>
        <v/>
      </c>
      <c r="AE57" s="122">
        <f t="shared" si="77"/>
        <v>0</v>
      </c>
      <c r="AF57" s="122">
        <f t="shared" si="78"/>
        <v>0</v>
      </c>
      <c r="AH57" s="122">
        <f t="shared" si="79"/>
        <v>0</v>
      </c>
      <c r="AI57" s="122">
        <f t="shared" si="79"/>
        <v>0</v>
      </c>
      <c r="AJ57" s="122">
        <f t="shared" si="79"/>
        <v>0</v>
      </c>
      <c r="AK57" s="122">
        <f t="shared" si="79"/>
        <v>0</v>
      </c>
      <c r="AL57" s="122">
        <f t="shared" si="79"/>
        <v>0</v>
      </c>
      <c r="AN57" s="24" t="str">
        <f>CONCATENATE("&lt;/Table&gt;&lt;/TD&gt;&lt;/TR&gt;&lt;/Table&gt;&lt;P&gt;")</f>
        <v>&lt;/Table&gt;&lt;/TD&gt;&lt;/TR&gt;&lt;/Table&gt;&lt;P&gt;</v>
      </c>
      <c r="AO57" s="24" t="str">
        <f>CONCATENATE("&lt;TR&gt;&lt;TD&gt;",A57,"&lt;TD width=200&gt;",B57,"&lt;TD&gt;",C57,"&lt;TD&gt;",D57,"&lt;TD&gt;",E57,"&lt;TD&gt;",F57,"&lt;TD&gt;",G57,"&lt;TD&gt;",H57,"&lt;/TD&gt;&lt;/TR&gt;")</f>
        <v>&lt;TR&gt;&lt;TD&gt;&lt;TD width=200&gt;&lt;TD&gt;&lt;TD&gt;&lt;TD&gt;&lt;TD&gt;XXX&lt;TD&gt;&lt;TD&gt;&lt;/TD&gt;&lt;/TR&gt;</v>
      </c>
      <c r="AP57" s="24" t="str">
        <f>CONCATENATE("&lt;TR&gt;&lt;TD&gt;",J57,"&lt;TD&gt;",K57,"&lt;/TD&gt;&lt;/TR&gt;")</f>
        <v>&lt;TR&gt;&lt;TD&gt;---------- - ----------&lt;TD&gt;&lt;/TD&gt;&lt;/TR&gt;</v>
      </c>
    </row>
    <row r="58" spans="1:42" ht="16.5" customHeight="1" thickTop="1" thickBot="1" x14ac:dyDescent="0.25">
      <c r="J58" s="24" t="str">
        <f t="shared" si="70"/>
        <v>---------- - ----------</v>
      </c>
      <c r="K58" s="24" t="str">
        <f t="shared" si="71"/>
        <v/>
      </c>
      <c r="M58" s="121" t="str">
        <f>CONCATENATE("1.st. ",úvod!$C$8," - ",M52)</f>
        <v>1.st. U19 - muži Skupina H</v>
      </c>
      <c r="N58" s="121">
        <f>A56</f>
        <v>0</v>
      </c>
      <c r="O58" s="121" t="str">
        <f>IF($N58=0,"----------",VLOOKUP($N58,sez!$A$2:$C$258,2))</f>
        <v>----------</v>
      </c>
      <c r="P58" s="121" t="str">
        <f>IF($N58=0,"",VLOOKUP($N58,sez!$A$2:$D$258,4))</f>
        <v/>
      </c>
      <c r="Q58" s="121">
        <f>A54</f>
        <v>0</v>
      </c>
      <c r="R58" s="121" t="str">
        <f>IF($Q58=0,"----------",VLOOKUP($Q58,sez!$A$2:$C$258,2))</f>
        <v>----------</v>
      </c>
      <c r="S58" s="121" t="str">
        <f>IF($Q58=0,"",VLOOKUP($Q58,sez!$A$2:$D$258,4))</f>
        <v/>
      </c>
      <c r="T58" s="59"/>
      <c r="U58" s="60"/>
      <c r="V58" s="60"/>
      <c r="W58" s="60"/>
      <c r="X58" s="61"/>
      <c r="Y58" s="24">
        <f t="shared" si="72"/>
        <v>0</v>
      </c>
      <c r="Z58" s="24">
        <f t="shared" si="73"/>
        <v>0</v>
      </c>
      <c r="AA58" s="24">
        <f t="shared" si="74"/>
        <v>0</v>
      </c>
      <c r="AB58" s="24" t="str">
        <f>IF($AA58=0,"",VLOOKUP($AA58,sez!$A$2:$C$258,2))</f>
        <v/>
      </c>
      <c r="AC58" s="24" t="str">
        <f t="shared" si="75"/>
        <v/>
      </c>
      <c r="AD58" s="24" t="str">
        <f t="shared" si="76"/>
        <v/>
      </c>
      <c r="AE58" s="122">
        <f t="shared" si="77"/>
        <v>0</v>
      </c>
      <c r="AF58" s="122">
        <f t="shared" si="78"/>
        <v>0</v>
      </c>
      <c r="AH58" s="122">
        <f t="shared" si="79"/>
        <v>0</v>
      </c>
      <c r="AI58" s="122">
        <f t="shared" si="79"/>
        <v>0</v>
      </c>
      <c r="AJ58" s="122">
        <f t="shared" si="79"/>
        <v>0</v>
      </c>
      <c r="AK58" s="122">
        <f t="shared" si="79"/>
        <v>0</v>
      </c>
      <c r="AL58" s="122">
        <f t="shared" si="79"/>
        <v>0</v>
      </c>
      <c r="AP58" s="24" t="str">
        <f>CONCATENATE("&lt;TR&gt;&lt;TD&gt;",J58,"&lt;TD&gt;",K58,"&lt;/TD&gt;&lt;/TR&gt;")</f>
        <v>&lt;TR&gt;&lt;TD&gt;---------- - ----------&lt;TD&gt;&lt;/TD&gt;&lt;/TR&gt;</v>
      </c>
    </row>
    <row r="59" spans="1:42" ht="15" customHeight="1" thickTop="1" x14ac:dyDescent="0.2"/>
  </sheetData>
  <phoneticPr fontId="0" type="noConversion"/>
  <pageMargins left="0.59055118110236227" right="0.59055118110236227" top="0.59055118110236227" bottom="0.39370078740157483" header="0.51181102362204722" footer="3.6614173228346458"/>
  <pageSetup paperSize="9" scale="3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Q32"/>
  <sheetViews>
    <sheetView tabSelected="1" view="pageBreakPreview" topLeftCell="A7" zoomScaleNormal="100" zoomScaleSheetLayoutView="100" workbookViewId="0">
      <selection activeCell="K25" sqref="K25"/>
    </sheetView>
  </sheetViews>
  <sheetFormatPr defaultRowHeight="15" customHeight="1" x14ac:dyDescent="0.2"/>
  <cols>
    <col min="1" max="1" width="3.42578125" style="24" customWidth="1"/>
    <col min="2" max="2" width="31.140625" style="24" bestFit="1" customWidth="1"/>
    <col min="3" max="8" width="5" style="24" customWidth="1"/>
    <col min="9" max="9" width="1.5703125" style="24" customWidth="1"/>
    <col min="10" max="10" width="30.85546875" style="24" bestFit="1" customWidth="1"/>
    <col min="11" max="11" width="30.140625" style="24" customWidth="1"/>
    <col min="12" max="12" width="4.42578125" style="24" customWidth="1"/>
    <col min="13" max="13" width="24.140625" style="24" bestFit="1" customWidth="1"/>
    <col min="14" max="14" width="5.28515625" style="24" bestFit="1" customWidth="1"/>
    <col min="15" max="15" width="14.42578125" style="24" bestFit="1" customWidth="1"/>
    <col min="16" max="16" width="3.7109375" style="24" customWidth="1"/>
    <col min="17" max="17" width="4.7109375" style="24" bestFit="1" customWidth="1"/>
    <col min="18" max="18" width="14.42578125" style="24" bestFit="1" customWidth="1"/>
    <col min="19" max="19" width="2.85546875" style="24" customWidth="1"/>
    <col min="20" max="24" width="5" style="24" bestFit="1" customWidth="1"/>
    <col min="25" max="26" width="5.140625" style="24" customWidth="1"/>
    <col min="27" max="27" width="5.5703125" style="24" bestFit="1" customWidth="1"/>
    <col min="28" max="28" width="4.42578125" style="24" customWidth="1"/>
    <col min="29" max="29" width="8.140625" style="24" bestFit="1" customWidth="1"/>
    <col min="30" max="30" width="3.42578125" style="122" customWidth="1"/>
    <col min="31" max="32" width="3.140625" style="122" customWidth="1"/>
    <col min="33" max="33" width="1.85546875" style="122" customWidth="1"/>
    <col min="34" max="38" width="3.140625" style="122" customWidth="1"/>
    <col min="39" max="39" width="3" style="122" customWidth="1"/>
    <col min="40" max="42" width="0" style="122" hidden="1" customWidth="1"/>
    <col min="43" max="43" width="9.140625" style="122"/>
    <col min="44" max="16384" width="9.140625" style="24"/>
  </cols>
  <sheetData>
    <row r="1" spans="1:42" ht="20.25" x14ac:dyDescent="0.3">
      <c r="A1" s="3" t="str">
        <f>úvod!C6</f>
        <v>Krajské přebory</v>
      </c>
      <c r="B1" s="2"/>
      <c r="C1" s="2"/>
      <c r="D1" s="2"/>
      <c r="E1" s="2"/>
      <c r="F1" s="2"/>
      <c r="G1" s="2"/>
    </row>
    <row r="2" spans="1:42" ht="20.25" x14ac:dyDescent="0.3">
      <c r="A2" s="4"/>
      <c r="B2" s="2"/>
      <c r="C2" s="2"/>
      <c r="D2" s="2"/>
      <c r="E2" s="2"/>
      <c r="F2" s="2"/>
      <c r="G2" s="20"/>
      <c r="K2" s="20" t="str">
        <f>CONCATENATE("Dvouhra ",úvod!C8,"Ž - 1.stupeň")</f>
        <v>Dvouhra U19Ž - 1.stupeň</v>
      </c>
    </row>
    <row r="3" spans="1:42" ht="15" customHeight="1" thickBot="1" x14ac:dyDescent="0.3">
      <c r="A3" s="2"/>
      <c r="B3" s="2"/>
      <c r="C3" s="4"/>
      <c r="D3" s="2"/>
      <c r="E3" s="2"/>
      <c r="F3" s="2"/>
      <c r="G3" s="15"/>
      <c r="K3" s="80"/>
      <c r="M3" s="25" t="str">
        <f>B4</f>
        <v>ženy Skupina A</v>
      </c>
      <c r="N3" s="25" t="s">
        <v>0</v>
      </c>
      <c r="O3" s="25" t="s">
        <v>1</v>
      </c>
      <c r="P3" s="25" t="s">
        <v>2</v>
      </c>
      <c r="Q3" s="25" t="s">
        <v>0</v>
      </c>
      <c r="R3" s="25" t="s">
        <v>3</v>
      </c>
      <c r="S3" s="25" t="s">
        <v>2</v>
      </c>
      <c r="T3" s="26" t="s">
        <v>4</v>
      </c>
      <c r="U3" s="26" t="s">
        <v>5</v>
      </c>
      <c r="V3" s="26" t="s">
        <v>6</v>
      </c>
      <c r="W3" s="26" t="s">
        <v>7</v>
      </c>
      <c r="X3" s="26" t="s">
        <v>8</v>
      </c>
      <c r="Y3" s="25" t="s">
        <v>9</v>
      </c>
      <c r="Z3" s="25" t="s">
        <v>10</v>
      </c>
      <c r="AA3" s="25" t="s">
        <v>11</v>
      </c>
      <c r="AN3" s="122" t="s">
        <v>18</v>
      </c>
    </row>
    <row r="4" spans="1:42" ht="16.5" customHeight="1" thickTop="1" thickBot="1" x14ac:dyDescent="0.25">
      <c r="A4" s="42"/>
      <c r="B4" s="43" t="s">
        <v>106</v>
      </c>
      <c r="C4" s="44">
        <v>1</v>
      </c>
      <c r="D4" s="45">
        <v>2</v>
      </c>
      <c r="E4" s="45">
        <v>3</v>
      </c>
      <c r="F4" s="46">
        <v>4</v>
      </c>
      <c r="G4" s="47" t="s">
        <v>16</v>
      </c>
      <c r="H4" s="46" t="s">
        <v>17</v>
      </c>
      <c r="J4" s="24" t="str">
        <f t="shared" ref="J4:J9" si="0">CONCATENATE(O4," - ",R4)</f>
        <v>Sobotíková Monika - ----------</v>
      </c>
      <c r="K4" s="24" t="str">
        <f t="shared" ref="K4:K9" si="1">IF(SUM(Y4:Z4)=0,AD4,CONCATENATE(Y4," : ",Z4," (",T4,",",U4,",",V4,IF(Y4+Z4&gt;3,",",""),W4,IF(Y4+Z4&gt;4,",",""),X4,")"))</f>
        <v/>
      </c>
      <c r="M4" s="121" t="str">
        <f>CONCATENATE("1.st. ",úvod!$C$8," - ",M3)</f>
        <v>1.st. U19 - ženy Skupina A</v>
      </c>
      <c r="N4" s="121">
        <f>A5</f>
        <v>41</v>
      </c>
      <c r="O4" s="121" t="str">
        <f>IF($N4=0,"----------",VLOOKUP($N4,sez!$A$2:$C$258,2))</f>
        <v>Sobotíková Monika</v>
      </c>
      <c r="P4" s="121" t="str">
        <f>IF($N4=0,"",VLOOKUP($N4,sez!$A$2:$D$258,4))</f>
        <v>MS Brno</v>
      </c>
      <c r="Q4" s="121">
        <f>A8</f>
        <v>0</v>
      </c>
      <c r="R4" s="121" t="str">
        <f>IF($Q4=0,"----------",VLOOKUP($Q4,sez!$A$2:$C$258,2))</f>
        <v>----------</v>
      </c>
      <c r="S4" s="121" t="str">
        <f>IF($Q4=0,"",VLOOKUP($Q4,sez!$A$2:$D$258,4))</f>
        <v/>
      </c>
      <c r="T4" s="53"/>
      <c r="U4" s="54"/>
      <c r="V4" s="54"/>
      <c r="W4" s="54"/>
      <c r="X4" s="55"/>
      <c r="Y4" s="24">
        <f t="shared" ref="Y4:Y9" si="2">COUNTIF(AH4:AL4,"&gt;0")</f>
        <v>0</v>
      </c>
      <c r="Z4" s="24">
        <f t="shared" ref="Z4:Z9" si="3">COUNTIF(AH4:AL4,"&lt;0")</f>
        <v>0</v>
      </c>
      <c r="AA4" s="24">
        <f t="shared" ref="AA4:AA9" si="4">IF(Y4=Z4,0,IF(Y4&gt;Z4,N4,Q4))</f>
        <v>0</v>
      </c>
      <c r="AB4" s="24" t="str">
        <f>IF($AA4=0,"",VLOOKUP($AA4,sez!$A$2:$C$258,2))</f>
        <v/>
      </c>
      <c r="AC4" s="24" t="str">
        <f t="shared" ref="AC4:AC9" si="5">IF(Y4=Z4,"",IF(Y4&gt;Z4,CONCATENATE(Y4,":",Z4," (",T4,",",U4,",",V4,IF(SUM(Y4:Z4)&gt;3,",",""),W4,IF(SUM(Y4:Z4)&gt;4,",",""),X4,")"),CONCATENATE(Z4,":",Y4," (",-T4,",",-U4,",",-V4,IF(SUM(Y4:Z4)&gt;3,CONCATENATE(",",-W4),""),IF(SUM(Y4:Z4)&gt;4,CONCATENATE(",",-X4),""),")")))</f>
        <v/>
      </c>
      <c r="AD4" s="122" t="str">
        <f t="shared" ref="AD4:AD9" si="6">IF(SUM(Y4:Z4)=0,"",AC4)</f>
        <v/>
      </c>
      <c r="AE4" s="122">
        <f t="shared" ref="AE4:AE9" si="7">IF(T4="",0,IF(Y4&gt;Z4,2,1))</f>
        <v>0</v>
      </c>
      <c r="AF4" s="122">
        <f t="shared" ref="AF4:AF9" si="8">IF(T4="",0,IF(Z4&gt;Y4,2,1))</f>
        <v>0</v>
      </c>
      <c r="AH4" s="122">
        <f t="shared" ref="AH4:AL9" si="9">IF(T4="",0,IF(MID(T4,1,1)="-",-1,1))</f>
        <v>0</v>
      </c>
      <c r="AI4" s="122">
        <f t="shared" si="9"/>
        <v>0</v>
      </c>
      <c r="AJ4" s="122">
        <f t="shared" si="9"/>
        <v>0</v>
      </c>
      <c r="AK4" s="122">
        <f t="shared" si="9"/>
        <v>0</v>
      </c>
      <c r="AL4" s="122">
        <f t="shared" si="9"/>
        <v>0</v>
      </c>
      <c r="AN4" s="122" t="str">
        <f>CONCATENATE("&lt;Table border=1 cellpading=0 cellspacing=0 width=480&gt;&lt;TR&gt;&lt;TH colspan=2&gt;",B4,"&lt;TH&gt;1&lt;TH&gt;2&lt;TH&gt;3&lt;TH&gt;4&lt;TH&gt;Body&lt;TH&gt;Pořadí&lt;/TH&gt;&lt;/TR&gt;")</f>
        <v>&lt;Table border=1 cellpading=0 cellspacing=0 width=480&gt;&lt;TR&gt;&lt;TH colspan=2&gt;ženy Skupina A&lt;TH&gt;1&lt;TH&gt;2&lt;TH&gt;3&lt;TH&gt;4&lt;TH&gt;Body&lt;TH&gt;Pořadí&lt;/TH&gt;&lt;/TR&gt;</v>
      </c>
      <c r="AP4" s="122" t="str">
        <f>CONCATENATE("&lt;TR&gt;&lt;TD width=250&gt;",J4,"&lt;TD&gt;",K4,"&lt;/TD&gt;&lt;/TR&gt;")</f>
        <v>&lt;TR&gt;&lt;TD width=250&gt;Sobotíková Monika - ----------&lt;TD&gt;&lt;/TD&gt;&lt;/TR&gt;</v>
      </c>
    </row>
    <row r="5" spans="1:42" ht="16.5" customHeight="1" thickTop="1" x14ac:dyDescent="0.2">
      <c r="A5" s="116">
        <v>41</v>
      </c>
      <c r="B5" s="37" t="str">
        <f>IF($A5="","",CONCATENATE(VLOOKUP($A5,sez!$A$2:$B$258,2)," (",VLOOKUP($A5,sez!$A$2:$E$259,4),")"))</f>
        <v>Sobotíková Monika (MS Brno)</v>
      </c>
      <c r="C5" s="38" t="s">
        <v>23</v>
      </c>
      <c r="D5" s="39" t="str">
        <f>IF(Y7+Z7=0,"",CONCATENATE(Y7,":",Z7))</f>
        <v>3:2</v>
      </c>
      <c r="E5" s="39" t="str">
        <f>IF(Y9+Z9=0,"",CONCATENATE(Z9,":",Y9))</f>
        <v>3:1</v>
      </c>
      <c r="F5" s="40" t="str">
        <f>IF(Y4+Z4=0,"",CONCATENATE(Y4,":",Z4))</f>
        <v/>
      </c>
      <c r="G5" s="41">
        <f>IF(AE4+AE7+AF9=0,"",AE4+AE7+AF9)</f>
        <v>4</v>
      </c>
      <c r="H5" s="113">
        <v>1</v>
      </c>
      <c r="J5" s="24" t="str">
        <f t="shared" si="0"/>
        <v>Mazalová Kristýna - Masopustová Lucie</v>
      </c>
      <c r="K5" s="24" t="str">
        <f t="shared" si="1"/>
        <v>1 : 3 (4,-11,-8,-4)</v>
      </c>
      <c r="M5" s="121" t="str">
        <f>CONCATENATE("1.st. ",úvod!$C$8," - ",M3)</f>
        <v>1.st. U19 - ženy Skupina A</v>
      </c>
      <c r="N5" s="121">
        <f>A6</f>
        <v>47</v>
      </c>
      <c r="O5" s="121" t="str">
        <f>IF($N5=0,"----------",VLOOKUP($N5,sez!$A$2:$C$258,2))</f>
        <v>Mazalová Kristýna</v>
      </c>
      <c r="P5" s="121" t="str">
        <f>IF($N5=0,"",VLOOKUP($N5,sez!$A$2:$D$258,4))</f>
        <v>KST Blansko</v>
      </c>
      <c r="Q5" s="121">
        <f>A7</f>
        <v>46</v>
      </c>
      <c r="R5" s="121" t="str">
        <f>IF($Q5=0,"----------",VLOOKUP($Q5,sez!$A$2:$C$258,2))</f>
        <v>Masopustová Lucie</v>
      </c>
      <c r="S5" s="121" t="str">
        <f>IF($Q5=0,"",VLOOKUP($Q5,sez!$A$2:$D$258,4))</f>
        <v>MSK Břeclav</v>
      </c>
      <c r="T5" s="56" t="s">
        <v>86</v>
      </c>
      <c r="U5" s="57" t="s">
        <v>94</v>
      </c>
      <c r="V5" s="57" t="s">
        <v>77</v>
      </c>
      <c r="W5" s="57" t="s">
        <v>73</v>
      </c>
      <c r="X5" s="58"/>
      <c r="Y5" s="24">
        <f t="shared" si="2"/>
        <v>1</v>
      </c>
      <c r="Z5" s="24">
        <f t="shared" si="3"/>
        <v>3</v>
      </c>
      <c r="AA5" s="24">
        <f t="shared" si="4"/>
        <v>46</v>
      </c>
      <c r="AB5" s="24" t="str">
        <f>IF($AA5=0,"",VLOOKUP($AA5,sez!$A$2:$C$258,2))</f>
        <v>Masopustová Lucie</v>
      </c>
      <c r="AC5" s="24" t="str">
        <f t="shared" si="5"/>
        <v>3:1 (-4,11,8,4)</v>
      </c>
      <c r="AD5" s="122" t="str">
        <f t="shared" si="6"/>
        <v>3:1 (-4,11,8,4)</v>
      </c>
      <c r="AE5" s="122">
        <f t="shared" si="7"/>
        <v>1</v>
      </c>
      <c r="AF5" s="122">
        <f t="shared" si="8"/>
        <v>2</v>
      </c>
      <c r="AH5" s="122">
        <f t="shared" si="9"/>
        <v>1</v>
      </c>
      <c r="AI5" s="122">
        <f t="shared" si="9"/>
        <v>-1</v>
      </c>
      <c r="AJ5" s="122">
        <f t="shared" si="9"/>
        <v>-1</v>
      </c>
      <c r="AK5" s="122">
        <f t="shared" si="9"/>
        <v>-1</v>
      </c>
      <c r="AL5" s="122">
        <f t="shared" si="9"/>
        <v>0</v>
      </c>
      <c r="AN5" s="122" t="str">
        <f>CONCATENATE(AO5,AO6,AO7,AO8,)</f>
        <v>&lt;TR&gt;&lt;TD&gt;41&lt;TD width=200&gt;Sobotíková Monika (MS Brno)&lt;TD&gt;XXX&lt;TD&gt;3:2&lt;TD&gt;3:1&lt;TD&gt;&lt;TD&gt;4&lt;TD&gt;1&lt;/TD&gt;&lt;/TR&gt;&lt;TR&gt;&lt;TD&gt;47&lt;TD width=200&gt;Mazalová Kristýna (KST Blansko)&lt;TD&gt;2:3&lt;TD&gt;XXX&lt;TD&gt;1:3&lt;TD&gt;&lt;TD&gt;2&lt;TD&gt;3&lt;/TD&gt;&lt;/TR&gt;&lt;TR&gt;&lt;TD&gt;46&lt;TD width=200&gt;Masopustová Lucie (MSK Břeclav)&lt;TD&gt;1:3&lt;TD&gt;3:1&lt;TD&gt;XXX&lt;TD&gt;&lt;TD&gt;3&lt;TD&gt;2&lt;/TD&gt;&lt;/TR&gt;&lt;TR&gt;&lt;TD&gt;&lt;TD width=200&gt;&lt;TD&gt;&lt;TD&gt;&lt;TD&gt;&lt;TD&gt;XXX&lt;TD&gt;&lt;TD&gt;&lt;/TD&gt;&lt;/TR&gt;</v>
      </c>
      <c r="AO5" s="122" t="str">
        <f>CONCATENATE("&lt;TR&gt;&lt;TD&gt;",A5,"&lt;TD width=200&gt;",B5,"&lt;TD&gt;",C5,"&lt;TD&gt;",D5,"&lt;TD&gt;",E5,"&lt;TD&gt;",F5,"&lt;TD&gt;",G5,"&lt;TD&gt;",H5,"&lt;/TD&gt;&lt;/TR&gt;")</f>
        <v>&lt;TR&gt;&lt;TD&gt;41&lt;TD width=200&gt;Sobotíková Monika (MS Brno)&lt;TD&gt;XXX&lt;TD&gt;3:2&lt;TD&gt;3:1&lt;TD&gt;&lt;TD&gt;4&lt;TD&gt;1&lt;/TD&gt;&lt;/TR&gt;</v>
      </c>
      <c r="AP5" s="122" t="str">
        <f>CONCATENATE("&lt;TR&gt;&lt;TD&gt;",J5,"&lt;TD&gt;",K5,"&lt;/TD&gt;&lt;/TR&gt;")</f>
        <v>&lt;TR&gt;&lt;TD&gt;Mazalová Kristýna - Masopustová Lucie&lt;TD&gt;1 : 3 (4,-11,-8,-4)&lt;/TD&gt;&lt;/TR&gt;</v>
      </c>
    </row>
    <row r="6" spans="1:42" ht="16.5" customHeight="1" x14ac:dyDescent="0.2">
      <c r="A6" s="117">
        <v>47</v>
      </c>
      <c r="B6" s="31" t="str">
        <f>IF($A6="","",CONCATENATE(VLOOKUP($A6,sez!$A$2:$B$258,2)," (",VLOOKUP($A6,sez!$A$2:$E$259,4),")"))</f>
        <v>Mazalová Kristýna (KST Blansko)</v>
      </c>
      <c r="C6" s="35" t="str">
        <f>IF(Y7+Z7=0,"",CONCATENATE(Z7,":",Y7))</f>
        <v>2:3</v>
      </c>
      <c r="D6" s="27" t="s">
        <v>23</v>
      </c>
      <c r="E6" s="27" t="str">
        <f>IF(Y5+Z5=0,"",CONCATENATE(Y5,":",Z5))</f>
        <v>1:3</v>
      </c>
      <c r="F6" s="28" t="str">
        <f>IF(Y8+Z8=0,"",CONCATENATE(Y8,":",Z8))</f>
        <v/>
      </c>
      <c r="G6" s="33">
        <f>IF(AE5+AF7+AE8=0,"",AE5+AF7+AE8)</f>
        <v>2</v>
      </c>
      <c r="H6" s="114">
        <v>3</v>
      </c>
      <c r="J6" s="24" t="str">
        <f t="shared" si="0"/>
        <v>---------- - Masopustová Lucie</v>
      </c>
      <c r="K6" s="24" t="str">
        <f t="shared" si="1"/>
        <v/>
      </c>
      <c r="M6" s="121" t="str">
        <f>CONCATENATE("1.st. ",úvod!$C$8," - ",M3)</f>
        <v>1.st. U19 - ženy Skupina A</v>
      </c>
      <c r="N6" s="121">
        <f>A8</f>
        <v>0</v>
      </c>
      <c r="O6" s="121" t="str">
        <f>IF($N6=0,"----------",VLOOKUP($N6,sez!$A$2:$C$258,2))</f>
        <v>----------</v>
      </c>
      <c r="P6" s="121" t="str">
        <f>IF($N6=0,"",VLOOKUP($N6,sez!$A$2:$D$258,4))</f>
        <v/>
      </c>
      <c r="Q6" s="121">
        <f>A7</f>
        <v>46</v>
      </c>
      <c r="R6" s="121" t="str">
        <f>IF($Q6=0,"----------",VLOOKUP($Q6,sez!$A$2:$C$258,2))</f>
        <v>Masopustová Lucie</v>
      </c>
      <c r="S6" s="121" t="str">
        <f>IF($Q6=0,"",VLOOKUP($Q6,sez!$A$2:$D$258,4))</f>
        <v>MSK Břeclav</v>
      </c>
      <c r="T6" s="56"/>
      <c r="U6" s="57"/>
      <c r="V6" s="57"/>
      <c r="W6" s="57"/>
      <c r="X6" s="58"/>
      <c r="Y6" s="24">
        <f t="shared" si="2"/>
        <v>0</v>
      </c>
      <c r="Z6" s="24">
        <f t="shared" si="3"/>
        <v>0</v>
      </c>
      <c r="AA6" s="24">
        <f t="shared" si="4"/>
        <v>0</v>
      </c>
      <c r="AB6" s="24" t="str">
        <f>IF($AA6=0,"",VLOOKUP($AA6,sez!$A$2:$C$258,2))</f>
        <v/>
      </c>
      <c r="AC6" s="24" t="str">
        <f t="shared" si="5"/>
        <v/>
      </c>
      <c r="AD6" s="122" t="str">
        <f t="shared" si="6"/>
        <v/>
      </c>
      <c r="AE6" s="122">
        <f t="shared" si="7"/>
        <v>0</v>
      </c>
      <c r="AF6" s="122">
        <f t="shared" si="8"/>
        <v>0</v>
      </c>
      <c r="AH6" s="122">
        <f t="shared" si="9"/>
        <v>0</v>
      </c>
      <c r="AI6" s="122">
        <f t="shared" si="9"/>
        <v>0</v>
      </c>
      <c r="AJ6" s="122">
        <f t="shared" si="9"/>
        <v>0</v>
      </c>
      <c r="AK6" s="122">
        <f t="shared" si="9"/>
        <v>0</v>
      </c>
      <c r="AL6" s="122">
        <f t="shared" si="9"/>
        <v>0</v>
      </c>
      <c r="AN6" s="122" t="str">
        <f>CONCATENATE("&lt;/Table&gt;&lt;TD width=420&gt;&lt;Table&gt;")</f>
        <v>&lt;/Table&gt;&lt;TD width=420&gt;&lt;Table&gt;</v>
      </c>
      <c r="AO6" s="122" t="str">
        <f>CONCATENATE("&lt;TR&gt;&lt;TD&gt;",A6,"&lt;TD width=200&gt;",B6,"&lt;TD&gt;",C6,"&lt;TD&gt;",D6,"&lt;TD&gt;",E6,"&lt;TD&gt;",F6,"&lt;TD&gt;",G6,"&lt;TD&gt;",H6,"&lt;/TD&gt;&lt;/TR&gt;")</f>
        <v>&lt;TR&gt;&lt;TD&gt;47&lt;TD width=200&gt;Mazalová Kristýna (KST Blansko)&lt;TD&gt;2:3&lt;TD&gt;XXX&lt;TD&gt;1:3&lt;TD&gt;&lt;TD&gt;2&lt;TD&gt;3&lt;/TD&gt;&lt;/TR&gt;</v>
      </c>
      <c r="AP6" s="122" t="str">
        <f>CONCATENATE("&lt;TR&gt;&lt;TD&gt;",J6,"&lt;TD&gt;",K6,"&lt;/TD&gt;&lt;/TR&gt;")</f>
        <v>&lt;TR&gt;&lt;TD&gt;---------- - Masopustová Lucie&lt;TD&gt;&lt;/TD&gt;&lt;/TR&gt;</v>
      </c>
    </row>
    <row r="7" spans="1:42" ht="16.5" customHeight="1" x14ac:dyDescent="0.2">
      <c r="A7" s="117">
        <v>46</v>
      </c>
      <c r="B7" s="31" t="str">
        <f>IF($A7="","",CONCATENATE(VLOOKUP($A7,sez!$A$2:$B$258,2)," (",VLOOKUP($A7,sez!$A$2:$E$259,4),")"))</f>
        <v>Masopustová Lucie (MSK Břeclav)</v>
      </c>
      <c r="C7" s="35" t="str">
        <f>IF(Y9+Z9=0,"",CONCATENATE(Y9,":",Z9))</f>
        <v>1:3</v>
      </c>
      <c r="D7" s="27" t="str">
        <f>IF(Y5+Z5=0,"",CONCATENATE(Z5,":",Y5))</f>
        <v>3:1</v>
      </c>
      <c r="E7" s="27" t="s">
        <v>23</v>
      </c>
      <c r="F7" s="28" t="str">
        <f>IF(Y6+Z6=0,"",CONCATENATE(Z6,":",Y6))</f>
        <v/>
      </c>
      <c r="G7" s="33">
        <f>IF(AF5+AF6+AE9=0,"",AF5+AF6+AE9)</f>
        <v>3</v>
      </c>
      <c r="H7" s="114">
        <v>2</v>
      </c>
      <c r="J7" s="24" t="str">
        <f t="shared" si="0"/>
        <v>Sobotíková Monika - Mazalová Kristýna</v>
      </c>
      <c r="K7" s="24" t="str">
        <f t="shared" si="1"/>
        <v>3 : 2 (9,5,-7,-8,9)</v>
      </c>
      <c r="M7" s="121" t="str">
        <f>CONCATENATE("1.st. ",úvod!$C$8," - ",M3)</f>
        <v>1.st. U19 - ženy Skupina A</v>
      </c>
      <c r="N7" s="121">
        <f>A5</f>
        <v>41</v>
      </c>
      <c r="O7" s="121" t="str">
        <f>IF($N7=0,"----------",VLOOKUP($N7,sez!$A$2:$C$258,2))</f>
        <v>Sobotíková Monika</v>
      </c>
      <c r="P7" s="121" t="str">
        <f>IF($N7=0,"",VLOOKUP($N7,sez!$A$2:$D$258,4))</f>
        <v>MS Brno</v>
      </c>
      <c r="Q7" s="121">
        <f>A6</f>
        <v>47</v>
      </c>
      <c r="R7" s="121" t="str">
        <f>IF($Q7=0,"----------",VLOOKUP($Q7,sez!$A$2:$C$258,2))</f>
        <v>Mazalová Kristýna</v>
      </c>
      <c r="S7" s="121" t="str">
        <f>IF($Q7=0,"",VLOOKUP($Q7,sez!$A$2:$D$258,4))</f>
        <v>KST Blansko</v>
      </c>
      <c r="T7" s="56" t="s">
        <v>71</v>
      </c>
      <c r="U7" s="57" t="s">
        <v>70</v>
      </c>
      <c r="V7" s="57" t="s">
        <v>79</v>
      </c>
      <c r="W7" s="57" t="s">
        <v>77</v>
      </c>
      <c r="X7" s="58" t="s">
        <v>71</v>
      </c>
      <c r="Y7" s="24">
        <f t="shared" si="2"/>
        <v>3</v>
      </c>
      <c r="Z7" s="24">
        <f t="shared" si="3"/>
        <v>2</v>
      </c>
      <c r="AA7" s="24">
        <f t="shared" si="4"/>
        <v>41</v>
      </c>
      <c r="AB7" s="24" t="str">
        <f>IF($AA7=0,"",VLOOKUP($AA7,sez!$A$2:$C$258,2))</f>
        <v>Sobotíková Monika</v>
      </c>
      <c r="AC7" s="24" t="str">
        <f t="shared" si="5"/>
        <v>3:2 (9,5,-7,-8,9)</v>
      </c>
      <c r="AD7" s="122" t="str">
        <f t="shared" si="6"/>
        <v>3:2 (9,5,-7,-8,9)</v>
      </c>
      <c r="AE7" s="122">
        <f t="shared" si="7"/>
        <v>2</v>
      </c>
      <c r="AF7" s="122">
        <f t="shared" si="8"/>
        <v>1</v>
      </c>
      <c r="AH7" s="122">
        <f t="shared" si="9"/>
        <v>1</v>
      </c>
      <c r="AI7" s="122">
        <f t="shared" si="9"/>
        <v>1</v>
      </c>
      <c r="AJ7" s="122">
        <f t="shared" si="9"/>
        <v>-1</v>
      </c>
      <c r="AK7" s="122">
        <f t="shared" si="9"/>
        <v>-1</v>
      </c>
      <c r="AL7" s="122">
        <f t="shared" si="9"/>
        <v>1</v>
      </c>
      <c r="AN7" s="122" t="str">
        <f>CONCATENATE(AP4,AP5,AP6,AP7,AP8,AP9,)</f>
        <v>&lt;TR&gt;&lt;TD width=250&gt;Sobotíková Monika - ----------&lt;TD&gt;&lt;/TD&gt;&lt;/TR&gt;&lt;TR&gt;&lt;TD&gt;Mazalová Kristýna - Masopustová Lucie&lt;TD&gt;1 : 3 (4,-11,-8,-4)&lt;/TD&gt;&lt;/TR&gt;&lt;TR&gt;&lt;TD&gt;---------- - Masopustová Lucie&lt;TD&gt;&lt;/TD&gt;&lt;/TR&gt;&lt;TR&gt;&lt;TD&gt;Sobotíková Monika - Mazalová Kristýna&lt;TD&gt;3 : 2 (9,5,-7,-8,9)&lt;/TD&gt;&lt;/TR&gt;&lt;TR&gt;&lt;TD&gt;Mazalová Kristýna - ----------&lt;TD&gt;&lt;/TD&gt;&lt;/TR&gt;&lt;TR&gt;&lt;TD&gt;Masopustová Lucie - Sobotíková Monika&lt;TD&gt;1 : 3 (-8,9,-7,-10)&lt;/TD&gt;&lt;/TR&gt;</v>
      </c>
      <c r="AO7" s="122" t="str">
        <f>CONCATENATE("&lt;TR&gt;&lt;TD&gt;",A7,"&lt;TD width=200&gt;",B7,"&lt;TD&gt;",C7,"&lt;TD&gt;",D7,"&lt;TD&gt;",E7,"&lt;TD&gt;",F7,"&lt;TD&gt;",G7,"&lt;TD&gt;",H7,"&lt;/TD&gt;&lt;/TR&gt;")</f>
        <v>&lt;TR&gt;&lt;TD&gt;46&lt;TD width=200&gt;Masopustová Lucie (MSK Břeclav)&lt;TD&gt;1:3&lt;TD&gt;3:1&lt;TD&gt;XXX&lt;TD&gt;&lt;TD&gt;3&lt;TD&gt;2&lt;/TD&gt;&lt;/TR&gt;</v>
      </c>
      <c r="AP7" s="122" t="str">
        <f>CONCATENATE("&lt;TR&gt;&lt;TD&gt;",J7,"&lt;TD&gt;",K7,"&lt;/TD&gt;&lt;/TR&gt;")</f>
        <v>&lt;TR&gt;&lt;TD&gt;Sobotíková Monika - Mazalová Kristýna&lt;TD&gt;3 : 2 (9,5,-7,-8,9)&lt;/TD&gt;&lt;/TR&gt;</v>
      </c>
    </row>
    <row r="8" spans="1:42" ht="16.5" customHeight="1" thickBot="1" x14ac:dyDescent="0.25">
      <c r="A8" s="118"/>
      <c r="B8" s="32" t="str">
        <f>IF($A8="","",CONCATENATE(VLOOKUP($A8,sez!$A$2:$B$258,2)," (",VLOOKUP($A8,sez!$A$2:$E$259,4),")"))</f>
        <v/>
      </c>
      <c r="C8" s="36" t="str">
        <f>IF(Y4+Z4=0,"",CONCATENATE(Z4,":",Y4))</f>
        <v/>
      </c>
      <c r="D8" s="29" t="str">
        <f>IF(Y8+Z8=0,"",CONCATENATE(Z8,":",Y8))</f>
        <v/>
      </c>
      <c r="E8" s="29" t="str">
        <f>IF(Y6+Z6=0,"",CONCATENATE(Y6,":",Z6))</f>
        <v/>
      </c>
      <c r="F8" s="30" t="s">
        <v>23</v>
      </c>
      <c r="G8" s="34" t="str">
        <f>IF(AF4+AE6+AF8=0,"",AF4+AE6+AF8)</f>
        <v/>
      </c>
      <c r="H8" s="115"/>
      <c r="J8" s="24" t="str">
        <f t="shared" si="0"/>
        <v>Mazalová Kristýna - ----------</v>
      </c>
      <c r="K8" s="24" t="str">
        <f t="shared" si="1"/>
        <v/>
      </c>
      <c r="M8" s="121" t="str">
        <f>CONCATENATE("1.st. ",úvod!$C$8," - ",M3)</f>
        <v>1.st. U19 - ženy Skupina A</v>
      </c>
      <c r="N8" s="121">
        <f>A6</f>
        <v>47</v>
      </c>
      <c r="O8" s="121" t="str">
        <f>IF($N8=0,"----------",VLOOKUP($N8,sez!$A$2:$C$258,2))</f>
        <v>Mazalová Kristýna</v>
      </c>
      <c r="P8" s="121" t="str">
        <f>IF($N8=0,"",VLOOKUP($N8,sez!$A$2:$D$258,4))</f>
        <v>KST Blansko</v>
      </c>
      <c r="Q8" s="121">
        <f>A8</f>
        <v>0</v>
      </c>
      <c r="R8" s="121" t="str">
        <f>IF($Q8=0,"----------",VLOOKUP($Q8,sez!$A$2:$C$258,2))</f>
        <v>----------</v>
      </c>
      <c r="S8" s="121" t="str">
        <f>IF($Q8=0,"",VLOOKUP($Q8,sez!$A$2:$D$258,4))</f>
        <v/>
      </c>
      <c r="T8" s="56"/>
      <c r="U8" s="57"/>
      <c r="V8" s="57"/>
      <c r="W8" s="57"/>
      <c r="X8" s="58"/>
      <c r="Y8" s="24">
        <f t="shared" si="2"/>
        <v>0</v>
      </c>
      <c r="Z8" s="24">
        <f t="shared" si="3"/>
        <v>0</v>
      </c>
      <c r="AA8" s="24">
        <f t="shared" si="4"/>
        <v>0</v>
      </c>
      <c r="AB8" s="24" t="str">
        <f>IF($AA8=0,"",VLOOKUP($AA8,sez!$A$2:$C$258,2))</f>
        <v/>
      </c>
      <c r="AC8" s="24" t="str">
        <f t="shared" si="5"/>
        <v/>
      </c>
      <c r="AD8" s="122" t="str">
        <f t="shared" si="6"/>
        <v/>
      </c>
      <c r="AE8" s="122">
        <f t="shared" si="7"/>
        <v>0</v>
      </c>
      <c r="AF8" s="122">
        <f t="shared" si="8"/>
        <v>0</v>
      </c>
      <c r="AH8" s="122">
        <f t="shared" si="9"/>
        <v>0</v>
      </c>
      <c r="AI8" s="122">
        <f t="shared" si="9"/>
        <v>0</v>
      </c>
      <c r="AJ8" s="122">
        <f t="shared" si="9"/>
        <v>0</v>
      </c>
      <c r="AK8" s="122">
        <f t="shared" si="9"/>
        <v>0</v>
      </c>
      <c r="AL8" s="122">
        <f t="shared" si="9"/>
        <v>0</v>
      </c>
      <c r="AN8" s="122" t="str">
        <f>CONCATENATE("&lt;/Table&gt;&lt;/TD&gt;&lt;/TR&gt;&lt;/Table&gt;&lt;P&gt;")</f>
        <v>&lt;/Table&gt;&lt;/TD&gt;&lt;/TR&gt;&lt;/Table&gt;&lt;P&gt;</v>
      </c>
      <c r="AO8" s="122" t="str">
        <f>CONCATENATE("&lt;TR&gt;&lt;TD&gt;",A8,"&lt;TD width=200&gt;",B8,"&lt;TD&gt;",C8,"&lt;TD&gt;",D8,"&lt;TD&gt;",E8,"&lt;TD&gt;",F8,"&lt;TD&gt;",G8,"&lt;TD&gt;",H8,"&lt;/TD&gt;&lt;/TR&gt;")</f>
        <v>&lt;TR&gt;&lt;TD&gt;&lt;TD width=200&gt;&lt;TD&gt;&lt;TD&gt;&lt;TD&gt;&lt;TD&gt;XXX&lt;TD&gt;&lt;TD&gt;&lt;/TD&gt;&lt;/TR&gt;</v>
      </c>
      <c r="AP8" s="122" t="str">
        <f>CONCATENATE("&lt;TR&gt;&lt;TD&gt;",J8,"&lt;TD&gt;",K8,"&lt;/TD&gt;&lt;/TR&gt;")</f>
        <v>&lt;TR&gt;&lt;TD&gt;Mazalová Kristýna - ----------&lt;TD&gt;&lt;/TD&gt;&lt;/TR&gt;</v>
      </c>
    </row>
    <row r="9" spans="1:42" ht="16.5" customHeight="1" thickTop="1" thickBot="1" x14ac:dyDescent="0.25">
      <c r="J9" s="24" t="str">
        <f t="shared" si="0"/>
        <v>Masopustová Lucie - Sobotíková Monika</v>
      </c>
      <c r="K9" s="24" t="str">
        <f t="shared" si="1"/>
        <v>1 : 3 (-8,9,-7,-10)</v>
      </c>
      <c r="M9" s="121" t="str">
        <f>CONCATENATE("1.st. ",úvod!$C$8," - ",M3)</f>
        <v>1.st. U19 - ženy Skupina A</v>
      </c>
      <c r="N9" s="121">
        <f>A7</f>
        <v>46</v>
      </c>
      <c r="O9" s="121" t="str">
        <f>IF($N9=0,"----------",VLOOKUP($N9,sez!$A$2:$C$258,2))</f>
        <v>Masopustová Lucie</v>
      </c>
      <c r="P9" s="121" t="str">
        <f>IF($N9=0,"",VLOOKUP($N9,sez!$A$2:$D$258,4))</f>
        <v>MSK Břeclav</v>
      </c>
      <c r="Q9" s="121">
        <f>A5</f>
        <v>41</v>
      </c>
      <c r="R9" s="121" t="str">
        <f>IF($Q9=0,"----------",VLOOKUP($Q9,sez!$A$2:$C$258,2))</f>
        <v>Sobotíková Monika</v>
      </c>
      <c r="S9" s="121" t="str">
        <f>IF($Q9=0,"",VLOOKUP($Q9,sez!$A$2:$D$258,4))</f>
        <v>MS Brno</v>
      </c>
      <c r="T9" s="59" t="s">
        <v>77</v>
      </c>
      <c r="U9" s="60" t="s">
        <v>71</v>
      </c>
      <c r="V9" s="60" t="s">
        <v>79</v>
      </c>
      <c r="W9" s="60" t="s">
        <v>76</v>
      </c>
      <c r="X9" s="61"/>
      <c r="Y9" s="24">
        <f t="shared" si="2"/>
        <v>1</v>
      </c>
      <c r="Z9" s="24">
        <f t="shared" si="3"/>
        <v>3</v>
      </c>
      <c r="AA9" s="24">
        <f t="shared" si="4"/>
        <v>41</v>
      </c>
      <c r="AB9" s="24" t="str">
        <f>IF($AA9=0,"",VLOOKUP($AA9,sez!$A$2:$C$258,2))</f>
        <v>Sobotíková Monika</v>
      </c>
      <c r="AC9" s="24" t="str">
        <f t="shared" si="5"/>
        <v>3:1 (8,-9,7,10)</v>
      </c>
      <c r="AD9" s="122" t="str">
        <f t="shared" si="6"/>
        <v>3:1 (8,-9,7,10)</v>
      </c>
      <c r="AE9" s="122">
        <f t="shared" si="7"/>
        <v>1</v>
      </c>
      <c r="AF9" s="122">
        <f t="shared" si="8"/>
        <v>2</v>
      </c>
      <c r="AH9" s="122">
        <f t="shared" si="9"/>
        <v>-1</v>
      </c>
      <c r="AI9" s="122">
        <f t="shared" si="9"/>
        <v>1</v>
      </c>
      <c r="AJ9" s="122">
        <f t="shared" si="9"/>
        <v>-1</v>
      </c>
      <c r="AK9" s="122">
        <f t="shared" si="9"/>
        <v>-1</v>
      </c>
      <c r="AL9" s="122">
        <f t="shared" si="9"/>
        <v>0</v>
      </c>
      <c r="AP9" s="122" t="str">
        <f>CONCATENATE("&lt;TR&gt;&lt;TD&gt;",J9,"&lt;TD&gt;",K9,"&lt;/TD&gt;&lt;/TR&gt;")</f>
        <v>&lt;TR&gt;&lt;TD&gt;Masopustová Lucie - Sobotíková Monika&lt;TD&gt;1 : 3 (-8,9,-7,-10)&lt;/TD&gt;&lt;/TR&gt;</v>
      </c>
    </row>
    <row r="10" spans="1:42" ht="16.5" customHeight="1" thickTop="1" thickBot="1" x14ac:dyDescent="0.25">
      <c r="M10" s="25" t="str">
        <f>B11</f>
        <v>ženy Skupina B</v>
      </c>
      <c r="N10" s="25" t="s">
        <v>0</v>
      </c>
      <c r="O10" s="25" t="s">
        <v>1</v>
      </c>
      <c r="P10" s="25" t="s">
        <v>2</v>
      </c>
      <c r="Q10" s="25" t="s">
        <v>0</v>
      </c>
      <c r="R10" s="25" t="s">
        <v>3</v>
      </c>
      <c r="S10" s="25" t="s">
        <v>2</v>
      </c>
      <c r="T10" s="26" t="s">
        <v>4</v>
      </c>
      <c r="U10" s="26" t="s">
        <v>5</v>
      </c>
      <c r="V10" s="26" t="s">
        <v>6</v>
      </c>
      <c r="W10" s="26" t="s">
        <v>7</v>
      </c>
      <c r="X10" s="26" t="s">
        <v>8</v>
      </c>
      <c r="Y10" s="25" t="s">
        <v>9</v>
      </c>
      <c r="Z10" s="25" t="s">
        <v>10</v>
      </c>
      <c r="AA10" s="25" t="s">
        <v>11</v>
      </c>
      <c r="AN10" s="122" t="s">
        <v>18</v>
      </c>
    </row>
    <row r="11" spans="1:42" ht="16.5" customHeight="1" thickTop="1" thickBot="1" x14ac:dyDescent="0.25">
      <c r="A11" s="42"/>
      <c r="B11" s="43" t="s">
        <v>107</v>
      </c>
      <c r="C11" s="44">
        <v>1</v>
      </c>
      <c r="D11" s="45">
        <v>2</v>
      </c>
      <c r="E11" s="45">
        <v>3</v>
      </c>
      <c r="F11" s="46">
        <v>4</v>
      </c>
      <c r="G11" s="47" t="s">
        <v>16</v>
      </c>
      <c r="H11" s="46" t="s">
        <v>17</v>
      </c>
      <c r="J11" s="24" t="str">
        <f t="shared" ref="J11:J16" si="10">CONCATENATE(O11," - ",R11)</f>
        <v>Novohradská Karolína - Habáňová Michaela</v>
      </c>
      <c r="K11" s="24" t="str">
        <f t="shared" ref="K11:K16" si="11">IF(SUM(Y11:Z11)=0,AD11,CONCATENATE(Y11," : ",Z11," (",T11,",",U11,",",V11,IF(Y11+Z11&gt;3,",",""),W11,IF(Y11+Z11&gt;4,",",""),X11,")"))</f>
        <v>3 : 0 (3,5,2)</v>
      </c>
      <c r="M11" s="121" t="str">
        <f>CONCATENATE("1.st. ",úvod!$C$8," - ",M10)</f>
        <v>1.st. U19 - ženy Skupina B</v>
      </c>
      <c r="N11" s="121">
        <f>A12</f>
        <v>42</v>
      </c>
      <c r="O11" s="121" t="str">
        <f>IF($N11=0,"----------",VLOOKUP($N11,sez!$A$2:$C$258,2))</f>
        <v>Novohradská Karolína</v>
      </c>
      <c r="P11" s="121" t="str">
        <f>IF($N11=0,"",VLOOKUP($N11,sez!$A$2:$D$258,4))</f>
        <v>KST Blansko</v>
      </c>
      <c r="Q11" s="121">
        <f>A15</f>
        <v>52</v>
      </c>
      <c r="R11" s="121" t="str">
        <f>IF($Q11=0,"----------",VLOOKUP($Q11,sez!$A$2:$C$258,2))</f>
        <v>Habáňová Michaela</v>
      </c>
      <c r="S11" s="121" t="str">
        <f>IF($Q11=0,"",VLOOKUP($Q11,sez!$A$2:$D$258,4))</f>
        <v>KST Blansko</v>
      </c>
      <c r="T11" s="53" t="s">
        <v>87</v>
      </c>
      <c r="U11" s="54" t="s">
        <v>70</v>
      </c>
      <c r="V11" s="54" t="s">
        <v>85</v>
      </c>
      <c r="W11" s="54"/>
      <c r="X11" s="55"/>
      <c r="Y11" s="24">
        <f t="shared" ref="Y11:Y16" si="12">COUNTIF(AH11:AL11,"&gt;0")</f>
        <v>3</v>
      </c>
      <c r="Z11" s="24">
        <f t="shared" ref="Z11:Z16" si="13">COUNTIF(AH11:AL11,"&lt;0")</f>
        <v>0</v>
      </c>
      <c r="AA11" s="24">
        <f t="shared" ref="AA11:AA16" si="14">IF(Y11=Z11,0,IF(Y11&gt;Z11,N11,Q11))</f>
        <v>42</v>
      </c>
      <c r="AB11" s="24" t="str">
        <f>IF($AA11=0,"",VLOOKUP($AA11,sez!$A$2:$C$258,2))</f>
        <v>Novohradská Karolína</v>
      </c>
      <c r="AC11" s="24" t="str">
        <f t="shared" ref="AC11:AC16" si="15">IF(Y11=Z11,"",IF(Y11&gt;Z11,CONCATENATE(Y11,":",Z11," (",T11,",",U11,",",V11,IF(SUM(Y11:Z11)&gt;3,",",""),W11,IF(SUM(Y11:Z11)&gt;4,",",""),X11,")"),CONCATENATE(Z11,":",Y11," (",-T11,",",-U11,",",-V11,IF(SUM(Y11:Z11)&gt;3,CONCATENATE(",",-W11),""),IF(SUM(Y11:Z11)&gt;4,CONCATENATE(",",-X11),""),")")))</f>
        <v>3:0 (3,5,2)</v>
      </c>
      <c r="AD11" s="122" t="str">
        <f t="shared" ref="AD11:AD16" si="16">IF(SUM(Y11:Z11)=0,"",AC11)</f>
        <v>3:0 (3,5,2)</v>
      </c>
      <c r="AE11" s="122">
        <f t="shared" ref="AE11:AE16" si="17">IF(T11="",0,IF(Y11&gt;Z11,2,1))</f>
        <v>2</v>
      </c>
      <c r="AF11" s="122">
        <f t="shared" ref="AF11:AF16" si="18">IF(T11="",0,IF(Z11&gt;Y11,2,1))</f>
        <v>1</v>
      </c>
      <c r="AH11" s="122">
        <f t="shared" ref="AH11:AL16" si="19">IF(T11="",0,IF(MID(T11,1,1)="-",-1,1))</f>
        <v>1</v>
      </c>
      <c r="AI11" s="122">
        <f t="shared" si="19"/>
        <v>1</v>
      </c>
      <c r="AJ11" s="122">
        <f t="shared" si="19"/>
        <v>1</v>
      </c>
      <c r="AK11" s="122">
        <f t="shared" si="19"/>
        <v>0</v>
      </c>
      <c r="AL11" s="122">
        <f t="shared" si="19"/>
        <v>0</v>
      </c>
      <c r="AN11" s="122" t="str">
        <f>CONCATENATE("&lt;Table border=1 cellpading=0 cellspacing=0 width=480&gt;&lt;TR&gt;&lt;TH colspan=2&gt;",B11,"&lt;TH&gt;1&lt;TH&gt;2&lt;TH&gt;3&lt;TH&gt;4&lt;TH&gt;Body&lt;TH&gt;Pořadí&lt;/TH&gt;&lt;/TR&gt;")</f>
        <v>&lt;Table border=1 cellpading=0 cellspacing=0 width=480&gt;&lt;TR&gt;&lt;TH colspan=2&gt;ženy Skupina B&lt;TH&gt;1&lt;TH&gt;2&lt;TH&gt;3&lt;TH&gt;4&lt;TH&gt;Body&lt;TH&gt;Pořadí&lt;/TH&gt;&lt;/TR&gt;</v>
      </c>
      <c r="AP11" s="122" t="str">
        <f>CONCATENATE("&lt;TR&gt;&lt;TD width=250&gt;",J11,"&lt;TD&gt;",K11,"&lt;/TD&gt;&lt;/TR&gt;")</f>
        <v>&lt;TR&gt;&lt;TD width=250&gt;Novohradská Karolína - Habáňová Michaela&lt;TD&gt;3 : 0 (3,5,2)&lt;/TD&gt;&lt;/TR&gt;</v>
      </c>
    </row>
    <row r="12" spans="1:42" ht="16.5" customHeight="1" thickTop="1" x14ac:dyDescent="0.2">
      <c r="A12" s="116">
        <v>42</v>
      </c>
      <c r="B12" s="37" t="str">
        <f>IF($A12="","",CONCATENATE(VLOOKUP($A12,sez!$A$2:$B$258,2)," (",VLOOKUP($A12,sez!$A$2:$E$259,4),")"))</f>
        <v>Novohradská Karolína (KST Blansko)</v>
      </c>
      <c r="C12" s="38" t="s">
        <v>23</v>
      </c>
      <c r="D12" s="39" t="str">
        <f>IF(Y14+Z14=0,"",CONCATENATE(Y14,":",Z14))</f>
        <v>3:0</v>
      </c>
      <c r="E12" s="39" t="str">
        <f>IF(Y16+Z16=0,"",CONCATENATE(Z16,":",Y16))</f>
        <v>3:2</v>
      </c>
      <c r="F12" s="40" t="str">
        <f>IF(Y11+Z11=0,"",CONCATENATE(Y11,":",Z11))</f>
        <v>3:0</v>
      </c>
      <c r="G12" s="41">
        <f>IF(AE11+AE14+AF16=0,"",AE11+AE14+AF16)</f>
        <v>6</v>
      </c>
      <c r="H12" s="113">
        <v>1</v>
      </c>
      <c r="J12" s="24" t="str">
        <f t="shared" si="10"/>
        <v>Kotásková Kristýna - Novotná Eliška</v>
      </c>
      <c r="K12" s="24" t="str">
        <f t="shared" si="11"/>
        <v>0 : 3 (-10,-3,-5)</v>
      </c>
      <c r="M12" s="121" t="str">
        <f>CONCATENATE("1.st. ",úvod!$C$8," - ",M10)</f>
        <v>1.st. U19 - ženy Skupina B</v>
      </c>
      <c r="N12" s="121">
        <f>A13</f>
        <v>48</v>
      </c>
      <c r="O12" s="121" t="str">
        <f>IF($N12=0,"----------",VLOOKUP($N12,sez!$A$2:$C$258,2))</f>
        <v>Kotásková Kristýna</v>
      </c>
      <c r="P12" s="121" t="str">
        <f>IF($N12=0,"",VLOOKUP($N12,sez!$A$2:$D$258,4))</f>
        <v>TJ Mikulčice</v>
      </c>
      <c r="Q12" s="121">
        <f>A14</f>
        <v>44</v>
      </c>
      <c r="R12" s="121" t="str">
        <f>IF($Q12=0,"----------",VLOOKUP($Q12,sez!$A$2:$C$258,2))</f>
        <v>Novotná Eliška</v>
      </c>
      <c r="S12" s="121" t="str">
        <f>IF($Q12=0,"",VLOOKUP($Q12,sez!$A$2:$D$258,4))</f>
        <v>SKST Hodonín</v>
      </c>
      <c r="T12" s="56" t="s">
        <v>76</v>
      </c>
      <c r="U12" s="57" t="s">
        <v>78</v>
      </c>
      <c r="V12" s="57" t="s">
        <v>80</v>
      </c>
      <c r="W12" s="57"/>
      <c r="X12" s="58"/>
      <c r="Y12" s="24">
        <f t="shared" si="12"/>
        <v>0</v>
      </c>
      <c r="Z12" s="24">
        <f t="shared" si="13"/>
        <v>3</v>
      </c>
      <c r="AA12" s="24">
        <f t="shared" si="14"/>
        <v>44</v>
      </c>
      <c r="AB12" s="24" t="str">
        <f>IF($AA12=0,"",VLOOKUP($AA12,sez!$A$2:$C$258,2))</f>
        <v>Novotná Eliška</v>
      </c>
      <c r="AC12" s="24" t="str">
        <f t="shared" si="15"/>
        <v>3:0 (10,3,5)</v>
      </c>
      <c r="AD12" s="122" t="str">
        <f t="shared" si="16"/>
        <v>3:0 (10,3,5)</v>
      </c>
      <c r="AE12" s="122">
        <f t="shared" si="17"/>
        <v>1</v>
      </c>
      <c r="AF12" s="122">
        <f t="shared" si="18"/>
        <v>2</v>
      </c>
      <c r="AH12" s="122">
        <f t="shared" si="19"/>
        <v>-1</v>
      </c>
      <c r="AI12" s="122">
        <f t="shared" si="19"/>
        <v>-1</v>
      </c>
      <c r="AJ12" s="122">
        <f t="shared" si="19"/>
        <v>-1</v>
      </c>
      <c r="AK12" s="122">
        <f t="shared" si="19"/>
        <v>0</v>
      </c>
      <c r="AL12" s="122">
        <f t="shared" si="19"/>
        <v>0</v>
      </c>
      <c r="AN12" s="122" t="str">
        <f>CONCATENATE(AO12,AO13,AO14,AO15,)</f>
        <v>&lt;TR&gt;&lt;TD&gt;42&lt;TD width=200&gt;Novohradská Karolína (KST Blansko)&lt;TD&gt;XXX&lt;TD&gt;3:0&lt;TD&gt;3:2&lt;TD&gt;3:0&lt;TD&gt;6&lt;TD&gt;1&lt;/TD&gt;&lt;/TR&gt;&lt;TR&gt;&lt;TD&gt;48&lt;TD width=200&gt;Kotásková Kristýna (TJ Mikulčice)&lt;TD&gt;0:3&lt;TD&gt;XXX&lt;TD&gt;0:3&lt;TD&gt;3:1&lt;TD&gt;4&lt;TD&gt;3&lt;/TD&gt;&lt;/TR&gt;&lt;TR&gt;&lt;TD&gt;44&lt;TD width=200&gt;Novotná Eliška (SKST Hodonín)&lt;TD&gt;2:3&lt;TD&gt;3:0&lt;TD&gt;XXX&lt;TD&gt;3:0&lt;TD&gt;5&lt;TD&gt;2&lt;/TD&gt;&lt;/TR&gt;&lt;TR&gt;&lt;TD&gt;52&lt;TD width=200&gt;Habáňová Michaela (KST Blansko)&lt;TD&gt;0:3&lt;TD&gt;1:3&lt;TD&gt;0:3&lt;TD&gt;XXX&lt;TD&gt;3&lt;TD&gt;4&lt;/TD&gt;&lt;/TR&gt;</v>
      </c>
      <c r="AO12" s="122" t="str">
        <f>CONCATENATE("&lt;TR&gt;&lt;TD&gt;",A12,"&lt;TD width=200&gt;",B12,"&lt;TD&gt;",C12,"&lt;TD&gt;",D12,"&lt;TD&gt;",E12,"&lt;TD&gt;",F12,"&lt;TD&gt;",G12,"&lt;TD&gt;",H12,"&lt;/TD&gt;&lt;/TR&gt;")</f>
        <v>&lt;TR&gt;&lt;TD&gt;42&lt;TD width=200&gt;Novohradská Karolína (KST Blansko)&lt;TD&gt;XXX&lt;TD&gt;3:0&lt;TD&gt;3:2&lt;TD&gt;3:0&lt;TD&gt;6&lt;TD&gt;1&lt;/TD&gt;&lt;/TR&gt;</v>
      </c>
      <c r="AP12" s="122" t="str">
        <f>CONCATENATE("&lt;TR&gt;&lt;TD&gt;",J12,"&lt;TD&gt;",K12,"&lt;/TD&gt;&lt;/TR&gt;")</f>
        <v>&lt;TR&gt;&lt;TD&gt;Kotásková Kristýna - Novotná Eliška&lt;TD&gt;0 : 3 (-10,-3,-5)&lt;/TD&gt;&lt;/TR&gt;</v>
      </c>
    </row>
    <row r="13" spans="1:42" ht="16.5" customHeight="1" x14ac:dyDescent="0.2">
      <c r="A13" s="117">
        <v>48</v>
      </c>
      <c r="B13" s="31" t="str">
        <f>IF($A13="","",CONCATENATE(VLOOKUP($A13,sez!$A$2:$B$258,2)," (",VLOOKUP($A13,sez!$A$2:$E$259,4),")"))</f>
        <v>Kotásková Kristýna (TJ Mikulčice)</v>
      </c>
      <c r="C13" s="35" t="str">
        <f>IF(Y14+Z14=0,"",CONCATENATE(Z14,":",Y14))</f>
        <v>0:3</v>
      </c>
      <c r="D13" s="27" t="s">
        <v>23</v>
      </c>
      <c r="E13" s="27" t="str">
        <f>IF(Y12+Z12=0,"",CONCATENATE(Y12,":",Z12))</f>
        <v>0:3</v>
      </c>
      <c r="F13" s="28" t="str">
        <f>IF(Y15+Z15=0,"",CONCATENATE(Y15,":",Z15))</f>
        <v>3:1</v>
      </c>
      <c r="G13" s="33">
        <f>IF(AE12+AF14+AE15=0,"",AE12+AF14+AE15)</f>
        <v>4</v>
      </c>
      <c r="H13" s="114">
        <v>3</v>
      </c>
      <c r="J13" s="24" t="str">
        <f t="shared" si="10"/>
        <v>Habáňová Michaela - Novotná Eliška</v>
      </c>
      <c r="K13" s="24" t="str">
        <f t="shared" si="11"/>
        <v>0 : 3 (-5,-5,-6)</v>
      </c>
      <c r="M13" s="121" t="str">
        <f>CONCATENATE("1.st. ",úvod!$C$8," - ",M10)</f>
        <v>1.st. U19 - ženy Skupina B</v>
      </c>
      <c r="N13" s="121">
        <f>A15</f>
        <v>52</v>
      </c>
      <c r="O13" s="121" t="str">
        <f>IF($N13=0,"----------",VLOOKUP($N13,sez!$A$2:$C$258,2))</f>
        <v>Habáňová Michaela</v>
      </c>
      <c r="P13" s="121" t="str">
        <f>IF($N13=0,"",VLOOKUP($N13,sez!$A$2:$D$258,4))</f>
        <v>KST Blansko</v>
      </c>
      <c r="Q13" s="121">
        <f>A14</f>
        <v>44</v>
      </c>
      <c r="R13" s="121" t="str">
        <f>IF($Q13=0,"----------",VLOOKUP($Q13,sez!$A$2:$C$258,2))</f>
        <v>Novotná Eliška</v>
      </c>
      <c r="S13" s="121" t="str">
        <f>IF($Q13=0,"",VLOOKUP($Q13,sez!$A$2:$D$258,4))</f>
        <v>SKST Hodonín</v>
      </c>
      <c r="T13" s="56" t="s">
        <v>80</v>
      </c>
      <c r="U13" s="57" t="s">
        <v>80</v>
      </c>
      <c r="V13" s="57" t="s">
        <v>81</v>
      </c>
      <c r="W13" s="57"/>
      <c r="X13" s="58"/>
      <c r="Y13" s="24">
        <f t="shared" si="12"/>
        <v>0</v>
      </c>
      <c r="Z13" s="24">
        <f t="shared" si="13"/>
        <v>3</v>
      </c>
      <c r="AA13" s="24">
        <f t="shared" si="14"/>
        <v>44</v>
      </c>
      <c r="AB13" s="24" t="str">
        <f>IF($AA13=0,"",VLOOKUP($AA13,sez!$A$2:$C$258,2))</f>
        <v>Novotná Eliška</v>
      </c>
      <c r="AC13" s="24" t="str">
        <f t="shared" si="15"/>
        <v>3:0 (5,5,6)</v>
      </c>
      <c r="AD13" s="122" t="str">
        <f t="shared" si="16"/>
        <v>3:0 (5,5,6)</v>
      </c>
      <c r="AE13" s="122">
        <f t="shared" si="17"/>
        <v>1</v>
      </c>
      <c r="AF13" s="122">
        <f t="shared" si="18"/>
        <v>2</v>
      </c>
      <c r="AH13" s="122">
        <f t="shared" si="19"/>
        <v>-1</v>
      </c>
      <c r="AI13" s="122">
        <f t="shared" si="19"/>
        <v>-1</v>
      </c>
      <c r="AJ13" s="122">
        <f t="shared" si="19"/>
        <v>-1</v>
      </c>
      <c r="AK13" s="122">
        <f t="shared" si="19"/>
        <v>0</v>
      </c>
      <c r="AL13" s="122">
        <f t="shared" si="19"/>
        <v>0</v>
      </c>
      <c r="AN13" s="122" t="str">
        <f>CONCATENATE("&lt;/Table&gt;&lt;TD width=420&gt;&lt;Table&gt;")</f>
        <v>&lt;/Table&gt;&lt;TD width=420&gt;&lt;Table&gt;</v>
      </c>
      <c r="AO13" s="122" t="str">
        <f>CONCATENATE("&lt;TR&gt;&lt;TD&gt;",A13,"&lt;TD width=200&gt;",B13,"&lt;TD&gt;",C13,"&lt;TD&gt;",D13,"&lt;TD&gt;",E13,"&lt;TD&gt;",F13,"&lt;TD&gt;",G13,"&lt;TD&gt;",H13,"&lt;/TD&gt;&lt;/TR&gt;")</f>
        <v>&lt;TR&gt;&lt;TD&gt;48&lt;TD width=200&gt;Kotásková Kristýna (TJ Mikulčice)&lt;TD&gt;0:3&lt;TD&gt;XXX&lt;TD&gt;0:3&lt;TD&gt;3:1&lt;TD&gt;4&lt;TD&gt;3&lt;/TD&gt;&lt;/TR&gt;</v>
      </c>
      <c r="AP13" s="122" t="str">
        <f>CONCATENATE("&lt;TR&gt;&lt;TD&gt;",J13,"&lt;TD&gt;",K13,"&lt;/TD&gt;&lt;/TR&gt;")</f>
        <v>&lt;TR&gt;&lt;TD&gt;Habáňová Michaela - Novotná Eliška&lt;TD&gt;0 : 3 (-5,-5,-6)&lt;/TD&gt;&lt;/TR&gt;</v>
      </c>
    </row>
    <row r="14" spans="1:42" ht="16.5" customHeight="1" x14ac:dyDescent="0.2">
      <c r="A14" s="117">
        <v>44</v>
      </c>
      <c r="B14" s="31" t="str">
        <f>IF($A14="","",CONCATENATE(VLOOKUP($A14,sez!$A$2:$B$258,2)," (",VLOOKUP($A14,sez!$A$2:$E$259,4),")"))</f>
        <v>Novotná Eliška (SKST Hodonín)</v>
      </c>
      <c r="C14" s="35" t="str">
        <f>IF(Y16+Z16=0,"",CONCATENATE(Y16,":",Z16))</f>
        <v>2:3</v>
      </c>
      <c r="D14" s="27" t="str">
        <f>IF(Y12+Z12=0,"",CONCATENATE(Z12,":",Y12))</f>
        <v>3:0</v>
      </c>
      <c r="E14" s="27" t="s">
        <v>23</v>
      </c>
      <c r="F14" s="28" t="str">
        <f>IF(Y13+Z13=0,"",CONCATENATE(Z13,":",Y13))</f>
        <v>3:0</v>
      </c>
      <c r="G14" s="33">
        <f>IF(AF12+AF13+AE16=0,"",AF12+AF13+AE16)</f>
        <v>5</v>
      </c>
      <c r="H14" s="114">
        <v>2</v>
      </c>
      <c r="J14" s="24" t="str">
        <f t="shared" si="10"/>
        <v>Novohradská Karolína - Kotásková Kristýna</v>
      </c>
      <c r="K14" s="24" t="str">
        <f t="shared" si="11"/>
        <v>3 : 0 (5,7,5)</v>
      </c>
      <c r="M14" s="121" t="str">
        <f>CONCATENATE("1.st. ",úvod!$C$8," - ",M10)</f>
        <v>1.st. U19 - ženy Skupina B</v>
      </c>
      <c r="N14" s="121">
        <f>A12</f>
        <v>42</v>
      </c>
      <c r="O14" s="121" t="str">
        <f>IF($N14=0,"----------",VLOOKUP($N14,sez!$A$2:$C$258,2))</f>
        <v>Novohradská Karolína</v>
      </c>
      <c r="P14" s="121" t="str">
        <f>IF($N14=0,"",VLOOKUP($N14,sez!$A$2:$D$258,4))</f>
        <v>KST Blansko</v>
      </c>
      <c r="Q14" s="121">
        <f>A13</f>
        <v>48</v>
      </c>
      <c r="R14" s="121" t="str">
        <f>IF($Q14=0,"----------",VLOOKUP($Q14,sez!$A$2:$C$258,2))</f>
        <v>Kotásková Kristýna</v>
      </c>
      <c r="S14" s="121" t="str">
        <f>IF($Q14=0,"",VLOOKUP($Q14,sez!$A$2:$D$258,4))</f>
        <v>TJ Mikulčice</v>
      </c>
      <c r="T14" s="56" t="s">
        <v>70</v>
      </c>
      <c r="U14" s="57" t="s">
        <v>72</v>
      </c>
      <c r="V14" s="57" t="s">
        <v>70</v>
      </c>
      <c r="W14" s="57"/>
      <c r="X14" s="58"/>
      <c r="Y14" s="24">
        <f t="shared" si="12"/>
        <v>3</v>
      </c>
      <c r="Z14" s="24">
        <f t="shared" si="13"/>
        <v>0</v>
      </c>
      <c r="AA14" s="24">
        <f t="shared" si="14"/>
        <v>42</v>
      </c>
      <c r="AB14" s="24" t="str">
        <f>IF($AA14=0,"",VLOOKUP($AA14,sez!$A$2:$C$258,2))</f>
        <v>Novohradská Karolína</v>
      </c>
      <c r="AC14" s="24" t="str">
        <f t="shared" si="15"/>
        <v>3:0 (5,7,5)</v>
      </c>
      <c r="AD14" s="122" t="str">
        <f t="shared" si="16"/>
        <v>3:0 (5,7,5)</v>
      </c>
      <c r="AE14" s="122">
        <f t="shared" si="17"/>
        <v>2</v>
      </c>
      <c r="AF14" s="122">
        <f t="shared" si="18"/>
        <v>1</v>
      </c>
      <c r="AH14" s="122">
        <f t="shared" si="19"/>
        <v>1</v>
      </c>
      <c r="AI14" s="122">
        <f t="shared" si="19"/>
        <v>1</v>
      </c>
      <c r="AJ14" s="122">
        <f t="shared" si="19"/>
        <v>1</v>
      </c>
      <c r="AK14" s="122">
        <f t="shared" si="19"/>
        <v>0</v>
      </c>
      <c r="AL14" s="122">
        <f t="shared" si="19"/>
        <v>0</v>
      </c>
      <c r="AN14" s="122" t="str">
        <f>CONCATENATE(AP11,AP12,AP13,AP14,AP15,AP16,)</f>
        <v>&lt;TR&gt;&lt;TD width=250&gt;Novohradská Karolína - Habáňová Michaela&lt;TD&gt;3 : 0 (3,5,2)&lt;/TD&gt;&lt;/TR&gt;&lt;TR&gt;&lt;TD&gt;Kotásková Kristýna - Novotná Eliška&lt;TD&gt;0 : 3 (-10,-3,-5)&lt;/TD&gt;&lt;/TR&gt;&lt;TR&gt;&lt;TD&gt;Habáňová Michaela - Novotná Eliška&lt;TD&gt;0 : 3 (-5,-5,-6)&lt;/TD&gt;&lt;/TR&gt;&lt;TR&gt;&lt;TD&gt;Novohradská Karolína - Kotásková Kristýna&lt;TD&gt;3 : 0 (5,7,5)&lt;/TD&gt;&lt;/TR&gt;&lt;TR&gt;&lt;TD&gt;Kotásková Kristýna - Habáňová Michaela&lt;TD&gt;3 : 1 (9,-8,6,6)&lt;/TD&gt;&lt;/TR&gt;&lt;TR&gt;&lt;TD&gt;Novotná Eliška - Novohradská Karolína&lt;TD&gt;2 : 3 (9,6,-6,-6,-5)&lt;/TD&gt;&lt;/TR&gt;</v>
      </c>
      <c r="AO14" s="122" t="str">
        <f>CONCATENATE("&lt;TR&gt;&lt;TD&gt;",A14,"&lt;TD width=200&gt;",B14,"&lt;TD&gt;",C14,"&lt;TD&gt;",D14,"&lt;TD&gt;",E14,"&lt;TD&gt;",F14,"&lt;TD&gt;",G14,"&lt;TD&gt;",H14,"&lt;/TD&gt;&lt;/TR&gt;")</f>
        <v>&lt;TR&gt;&lt;TD&gt;44&lt;TD width=200&gt;Novotná Eliška (SKST Hodonín)&lt;TD&gt;2:3&lt;TD&gt;3:0&lt;TD&gt;XXX&lt;TD&gt;3:0&lt;TD&gt;5&lt;TD&gt;2&lt;/TD&gt;&lt;/TR&gt;</v>
      </c>
      <c r="AP14" s="122" t="str">
        <f>CONCATENATE("&lt;TR&gt;&lt;TD&gt;",J14,"&lt;TD&gt;",K14,"&lt;/TD&gt;&lt;/TR&gt;")</f>
        <v>&lt;TR&gt;&lt;TD&gt;Novohradská Karolína - Kotásková Kristýna&lt;TD&gt;3 : 0 (5,7,5)&lt;/TD&gt;&lt;/TR&gt;</v>
      </c>
    </row>
    <row r="15" spans="1:42" ht="16.5" customHeight="1" thickBot="1" x14ac:dyDescent="0.25">
      <c r="A15" s="118">
        <v>52</v>
      </c>
      <c r="B15" s="32" t="str">
        <f>IF($A15="","",CONCATENATE(VLOOKUP($A15,sez!$A$2:$B$258,2)," (",VLOOKUP($A15,sez!$A$2:$E$259,4),")"))</f>
        <v>Habáňová Michaela (KST Blansko)</v>
      </c>
      <c r="C15" s="36" t="str">
        <f>IF(Y11+Z11=0,"",CONCATENATE(Z11,":",Y11))</f>
        <v>0:3</v>
      </c>
      <c r="D15" s="29" t="str">
        <f>IF(Y15+Z15=0,"",CONCATENATE(Z15,":",Y15))</f>
        <v>1:3</v>
      </c>
      <c r="E15" s="29" t="str">
        <f>IF(Y13+Z13=0,"",CONCATENATE(Y13,":",Z13))</f>
        <v>0:3</v>
      </c>
      <c r="F15" s="30" t="s">
        <v>23</v>
      </c>
      <c r="G15" s="34">
        <f>IF(AF11+AE13+AF15=0,"",AF11+AE13+AF15)</f>
        <v>3</v>
      </c>
      <c r="H15" s="115">
        <v>4</v>
      </c>
      <c r="J15" s="24" t="str">
        <f t="shared" si="10"/>
        <v>Kotásková Kristýna - Habáňová Michaela</v>
      </c>
      <c r="K15" s="24" t="str">
        <f t="shared" si="11"/>
        <v>3 : 1 (9,-8,6,6)</v>
      </c>
      <c r="M15" s="121" t="str">
        <f>CONCATENATE("1.st. ",úvod!$C$8," - ",M10)</f>
        <v>1.st. U19 - ženy Skupina B</v>
      </c>
      <c r="N15" s="121">
        <f>A13</f>
        <v>48</v>
      </c>
      <c r="O15" s="121" t="str">
        <f>IF($N15=0,"----------",VLOOKUP($N15,sez!$A$2:$C$258,2))</f>
        <v>Kotásková Kristýna</v>
      </c>
      <c r="P15" s="121" t="str">
        <f>IF($N15=0,"",VLOOKUP($N15,sez!$A$2:$D$258,4))</f>
        <v>TJ Mikulčice</v>
      </c>
      <c r="Q15" s="121">
        <f>A15</f>
        <v>52</v>
      </c>
      <c r="R15" s="121" t="str">
        <f>IF($Q15=0,"----------",VLOOKUP($Q15,sez!$A$2:$C$258,2))</f>
        <v>Habáňová Michaela</v>
      </c>
      <c r="S15" s="121" t="str">
        <f>IF($Q15=0,"",VLOOKUP($Q15,sez!$A$2:$D$258,4))</f>
        <v>KST Blansko</v>
      </c>
      <c r="T15" s="56" t="s">
        <v>71</v>
      </c>
      <c r="U15" s="57" t="s">
        <v>77</v>
      </c>
      <c r="V15" s="57" t="s">
        <v>83</v>
      </c>
      <c r="W15" s="57" t="s">
        <v>83</v>
      </c>
      <c r="X15" s="58"/>
      <c r="Y15" s="24">
        <f t="shared" si="12"/>
        <v>3</v>
      </c>
      <c r="Z15" s="24">
        <f t="shared" si="13"/>
        <v>1</v>
      </c>
      <c r="AA15" s="24">
        <f t="shared" si="14"/>
        <v>48</v>
      </c>
      <c r="AB15" s="24" t="str">
        <f>IF($AA15=0,"",VLOOKUP($AA15,sez!$A$2:$C$258,2))</f>
        <v>Kotásková Kristýna</v>
      </c>
      <c r="AC15" s="24" t="str">
        <f t="shared" si="15"/>
        <v>3:1 (9,-8,6,6)</v>
      </c>
      <c r="AD15" s="122" t="str">
        <f t="shared" si="16"/>
        <v>3:1 (9,-8,6,6)</v>
      </c>
      <c r="AE15" s="122">
        <f t="shared" si="17"/>
        <v>2</v>
      </c>
      <c r="AF15" s="122">
        <f t="shared" si="18"/>
        <v>1</v>
      </c>
      <c r="AH15" s="122">
        <f t="shared" si="19"/>
        <v>1</v>
      </c>
      <c r="AI15" s="122">
        <f t="shared" si="19"/>
        <v>-1</v>
      </c>
      <c r="AJ15" s="122">
        <f t="shared" si="19"/>
        <v>1</v>
      </c>
      <c r="AK15" s="122">
        <f t="shared" si="19"/>
        <v>1</v>
      </c>
      <c r="AL15" s="122">
        <f t="shared" si="19"/>
        <v>0</v>
      </c>
      <c r="AN15" s="122" t="str">
        <f>CONCATENATE("&lt;/Table&gt;&lt;/TD&gt;&lt;/TR&gt;&lt;/Table&gt;&lt;P&gt;")</f>
        <v>&lt;/Table&gt;&lt;/TD&gt;&lt;/TR&gt;&lt;/Table&gt;&lt;P&gt;</v>
      </c>
      <c r="AO15" s="122" t="str">
        <f>CONCATENATE("&lt;TR&gt;&lt;TD&gt;",A15,"&lt;TD width=200&gt;",B15,"&lt;TD&gt;",C15,"&lt;TD&gt;",D15,"&lt;TD&gt;",E15,"&lt;TD&gt;",F15,"&lt;TD&gt;",G15,"&lt;TD&gt;",H15,"&lt;/TD&gt;&lt;/TR&gt;")</f>
        <v>&lt;TR&gt;&lt;TD&gt;52&lt;TD width=200&gt;Habáňová Michaela (KST Blansko)&lt;TD&gt;0:3&lt;TD&gt;1:3&lt;TD&gt;0:3&lt;TD&gt;XXX&lt;TD&gt;3&lt;TD&gt;4&lt;/TD&gt;&lt;/TR&gt;</v>
      </c>
      <c r="AP15" s="122" t="str">
        <f>CONCATENATE("&lt;TR&gt;&lt;TD&gt;",J15,"&lt;TD&gt;",K15,"&lt;/TD&gt;&lt;/TR&gt;")</f>
        <v>&lt;TR&gt;&lt;TD&gt;Kotásková Kristýna - Habáňová Michaela&lt;TD&gt;3 : 1 (9,-8,6,6)&lt;/TD&gt;&lt;/TR&gt;</v>
      </c>
    </row>
    <row r="16" spans="1:42" ht="16.5" customHeight="1" thickTop="1" thickBot="1" x14ac:dyDescent="0.25">
      <c r="J16" s="24" t="str">
        <f t="shared" si="10"/>
        <v>Novotná Eliška - Novohradská Karolína</v>
      </c>
      <c r="K16" s="24" t="str">
        <f t="shared" si="11"/>
        <v>2 : 3 (9,6,-6,-6,-5)</v>
      </c>
      <c r="M16" s="121" t="str">
        <f>CONCATENATE("1.st. ",úvod!$C$8," - ",M10)</f>
        <v>1.st. U19 - ženy Skupina B</v>
      </c>
      <c r="N16" s="121">
        <f>A14</f>
        <v>44</v>
      </c>
      <c r="O16" s="121" t="str">
        <f>IF($N16=0,"----------",VLOOKUP($N16,sez!$A$2:$C$258,2))</f>
        <v>Novotná Eliška</v>
      </c>
      <c r="P16" s="121" t="str">
        <f>IF($N16=0,"",VLOOKUP($N16,sez!$A$2:$D$258,4))</f>
        <v>SKST Hodonín</v>
      </c>
      <c r="Q16" s="121">
        <f>A12</f>
        <v>42</v>
      </c>
      <c r="R16" s="121" t="str">
        <f>IF($Q16=0,"----------",VLOOKUP($Q16,sez!$A$2:$C$258,2))</f>
        <v>Novohradská Karolína</v>
      </c>
      <c r="S16" s="121" t="str">
        <f>IF($Q16=0,"",VLOOKUP($Q16,sez!$A$2:$D$258,4))</f>
        <v>KST Blansko</v>
      </c>
      <c r="T16" s="59" t="s">
        <v>71</v>
      </c>
      <c r="U16" s="60" t="s">
        <v>83</v>
      </c>
      <c r="V16" s="60" t="s">
        <v>81</v>
      </c>
      <c r="W16" s="60" t="s">
        <v>81</v>
      </c>
      <c r="X16" s="61" t="s">
        <v>80</v>
      </c>
      <c r="Y16" s="24">
        <f t="shared" si="12"/>
        <v>2</v>
      </c>
      <c r="Z16" s="24">
        <f t="shared" si="13"/>
        <v>3</v>
      </c>
      <c r="AA16" s="24">
        <f t="shared" si="14"/>
        <v>42</v>
      </c>
      <c r="AB16" s="24" t="str">
        <f>IF($AA16=0,"",VLOOKUP($AA16,sez!$A$2:$C$258,2))</f>
        <v>Novohradská Karolína</v>
      </c>
      <c r="AC16" s="24" t="str">
        <f t="shared" si="15"/>
        <v>3:2 (-9,-6,6,6,5)</v>
      </c>
      <c r="AD16" s="122" t="str">
        <f t="shared" si="16"/>
        <v>3:2 (-9,-6,6,6,5)</v>
      </c>
      <c r="AE16" s="122">
        <f t="shared" si="17"/>
        <v>1</v>
      </c>
      <c r="AF16" s="122">
        <f t="shared" si="18"/>
        <v>2</v>
      </c>
      <c r="AH16" s="122">
        <f t="shared" si="19"/>
        <v>1</v>
      </c>
      <c r="AI16" s="122">
        <f t="shared" si="19"/>
        <v>1</v>
      </c>
      <c r="AJ16" s="122">
        <f t="shared" si="19"/>
        <v>-1</v>
      </c>
      <c r="AK16" s="122">
        <f t="shared" si="19"/>
        <v>-1</v>
      </c>
      <c r="AL16" s="122">
        <f t="shared" si="19"/>
        <v>-1</v>
      </c>
      <c r="AP16" s="122" t="str">
        <f>CONCATENATE("&lt;TR&gt;&lt;TD&gt;",J16,"&lt;TD&gt;",K16,"&lt;/TD&gt;&lt;/TR&gt;")</f>
        <v>&lt;TR&gt;&lt;TD&gt;Novotná Eliška - Novohradská Karolína&lt;TD&gt;2 : 3 (9,6,-6,-6,-5)&lt;/TD&gt;&lt;/TR&gt;</v>
      </c>
    </row>
    <row r="17" spans="1:42" ht="16.5" customHeight="1" thickTop="1" thickBot="1" x14ac:dyDescent="0.25">
      <c r="M17" s="25" t="str">
        <f>B18</f>
        <v>ženy Skupina C</v>
      </c>
      <c r="N17" s="25" t="s">
        <v>0</v>
      </c>
      <c r="O17" s="25" t="s">
        <v>1</v>
      </c>
      <c r="P17" s="25" t="s">
        <v>2</v>
      </c>
      <c r="Q17" s="25" t="s">
        <v>0</v>
      </c>
      <c r="R17" s="25" t="s">
        <v>3</v>
      </c>
      <c r="S17" s="25" t="s">
        <v>2</v>
      </c>
      <c r="T17" s="26" t="s">
        <v>4</v>
      </c>
      <c r="U17" s="26" t="s">
        <v>5</v>
      </c>
      <c r="V17" s="26" t="s">
        <v>6</v>
      </c>
      <c r="W17" s="26" t="s">
        <v>7</v>
      </c>
      <c r="X17" s="26" t="s">
        <v>8</v>
      </c>
      <c r="Y17" s="25" t="s">
        <v>9</v>
      </c>
      <c r="Z17" s="25" t="s">
        <v>10</v>
      </c>
      <c r="AA17" s="25" t="s">
        <v>11</v>
      </c>
      <c r="AN17" s="122" t="s">
        <v>18</v>
      </c>
    </row>
    <row r="18" spans="1:42" ht="16.5" customHeight="1" thickTop="1" thickBot="1" x14ac:dyDescent="0.25">
      <c r="A18" s="42"/>
      <c r="B18" s="43" t="s">
        <v>108</v>
      </c>
      <c r="C18" s="44">
        <v>1</v>
      </c>
      <c r="D18" s="45">
        <v>2</v>
      </c>
      <c r="E18" s="45">
        <v>3</v>
      </c>
      <c r="F18" s="46">
        <v>4</v>
      </c>
      <c r="G18" s="47" t="s">
        <v>16</v>
      </c>
      <c r="H18" s="46" t="s">
        <v>17</v>
      </c>
      <c r="J18" s="24" t="str">
        <f t="shared" ref="J18:J23" si="20">CONCATENATE(O18," - ",R18)</f>
        <v>Holubová Simona - Bedřichová Ema</v>
      </c>
      <c r="K18" s="24" t="str">
        <f t="shared" ref="K18:K23" si="21">IF(SUM(Y18:Z18)=0,AD18,CONCATENATE(Y18," : ",Z18," (",T18,",",U18,",",V18,IF(Y18+Z18&gt;3,",",""),W18,IF(Y18+Z18&gt;4,",",""),X18,")"))</f>
        <v>3 : 1 (1,4,-7,13)</v>
      </c>
      <c r="M18" s="121" t="str">
        <f>CONCATENATE("1.st. ",úvod!$C$8," - ",M17)</f>
        <v>1.st. U19 - ženy Skupina C</v>
      </c>
      <c r="N18" s="121">
        <f>A19</f>
        <v>43</v>
      </c>
      <c r="O18" s="121" t="str">
        <f>IF($N18=0,"----------",VLOOKUP($N18,sez!$A$2:$C$258,2))</f>
        <v>Holubová Simona</v>
      </c>
      <c r="P18" s="121" t="str">
        <f>IF($N18=0,"",VLOOKUP($N18,sez!$A$2:$D$258,4))</f>
        <v>SKST Hodonín</v>
      </c>
      <c r="Q18" s="121">
        <f>A22</f>
        <v>51</v>
      </c>
      <c r="R18" s="121" t="str">
        <f>IF($Q18=0,"----------",VLOOKUP($Q18,sez!$A$2:$C$258,2))</f>
        <v>Bedřichová Ema</v>
      </c>
      <c r="S18" s="121" t="str">
        <f>IF($Q18=0,"",VLOOKUP($Q18,sez!$A$2:$D$258,4))</f>
        <v>Klobouky u Brna</v>
      </c>
      <c r="T18" s="53" t="s">
        <v>135</v>
      </c>
      <c r="U18" s="54" t="s">
        <v>86</v>
      </c>
      <c r="V18" s="54" t="s">
        <v>79</v>
      </c>
      <c r="W18" s="54" t="s">
        <v>91</v>
      </c>
      <c r="X18" s="55"/>
      <c r="Y18" s="24">
        <f t="shared" ref="Y18:Y23" si="22">COUNTIF(AH18:AL18,"&gt;0")</f>
        <v>3</v>
      </c>
      <c r="Z18" s="24">
        <f t="shared" ref="Z18:Z23" si="23">COUNTIF(AH18:AL18,"&lt;0")</f>
        <v>1</v>
      </c>
      <c r="AA18" s="24">
        <f t="shared" ref="AA18:AA23" si="24">IF(Y18=Z18,0,IF(Y18&gt;Z18,N18,Q18))</f>
        <v>43</v>
      </c>
      <c r="AB18" s="24" t="str">
        <f>IF($AA18=0,"",VLOOKUP($AA18,sez!$A$2:$C$258,2))</f>
        <v>Holubová Simona</v>
      </c>
      <c r="AC18" s="24" t="str">
        <f t="shared" ref="AC18:AC23" si="25">IF(Y18=Z18,"",IF(Y18&gt;Z18,CONCATENATE(Y18,":",Z18," (",T18,",",U18,",",V18,IF(SUM(Y18:Z18)&gt;3,",",""),W18,IF(SUM(Y18:Z18)&gt;4,",",""),X18,")"),CONCATENATE(Z18,":",Y18," (",-T18,",",-U18,",",-V18,IF(SUM(Y18:Z18)&gt;3,CONCATENATE(",",-W18),""),IF(SUM(Y18:Z18)&gt;4,CONCATENATE(",",-X18),""),")")))</f>
        <v>3:1 (1,4,-7,13)</v>
      </c>
      <c r="AD18" s="122" t="str">
        <f t="shared" ref="AD18:AD23" si="26">IF(SUM(Y18:Z18)=0,"",AC18)</f>
        <v>3:1 (1,4,-7,13)</v>
      </c>
      <c r="AE18" s="122">
        <f t="shared" ref="AE18:AE23" si="27">IF(T18="",0,IF(Y18&gt;Z18,2,1))</f>
        <v>2</v>
      </c>
      <c r="AF18" s="122">
        <f t="shared" ref="AF18:AF23" si="28">IF(T18="",0,IF(Z18&gt;Y18,2,1))</f>
        <v>1</v>
      </c>
      <c r="AH18" s="122">
        <f t="shared" ref="AH18:AL23" si="29">IF(T18="",0,IF(MID(T18,1,1)="-",-1,1))</f>
        <v>1</v>
      </c>
      <c r="AI18" s="122">
        <f t="shared" si="29"/>
        <v>1</v>
      </c>
      <c r="AJ18" s="122">
        <f t="shared" si="29"/>
        <v>-1</v>
      </c>
      <c r="AK18" s="122">
        <f t="shared" si="29"/>
        <v>1</v>
      </c>
      <c r="AL18" s="122">
        <f t="shared" si="29"/>
        <v>0</v>
      </c>
      <c r="AN18" s="122" t="str">
        <f>CONCATENATE("&lt;Table border=1 cellpading=0 cellspacing=0 width=480&gt;&lt;TR&gt;&lt;TH colspan=2&gt;",B18,"&lt;TH&gt;1&lt;TH&gt;2&lt;TH&gt;3&lt;TH&gt;4&lt;TH&gt;Body&lt;TH&gt;Pořadí&lt;/TH&gt;&lt;/TR&gt;")</f>
        <v>&lt;Table border=1 cellpading=0 cellspacing=0 width=480&gt;&lt;TR&gt;&lt;TH colspan=2&gt;ženy Skupina C&lt;TH&gt;1&lt;TH&gt;2&lt;TH&gt;3&lt;TH&gt;4&lt;TH&gt;Body&lt;TH&gt;Pořadí&lt;/TH&gt;&lt;/TR&gt;</v>
      </c>
      <c r="AP18" s="122" t="str">
        <f>CONCATENATE("&lt;TR&gt;&lt;TD width=250&gt;",J18,"&lt;TD&gt;",K18,"&lt;/TD&gt;&lt;/TR&gt;")</f>
        <v>&lt;TR&gt;&lt;TD width=250&gt;Holubová Simona - Bedřichová Ema&lt;TD&gt;3 : 1 (1,4,-7,13)&lt;/TD&gt;&lt;/TR&gt;</v>
      </c>
    </row>
    <row r="19" spans="1:42" ht="16.5" customHeight="1" thickTop="1" x14ac:dyDescent="0.2">
      <c r="A19" s="116">
        <v>43</v>
      </c>
      <c r="B19" s="37" t="str">
        <f>IF($A19="","",CONCATENATE(VLOOKUP($A19,sez!$A$2:$B$258,2)," (",VLOOKUP($A19,sez!$A$2:$E$259,4),")"))</f>
        <v>Holubová Simona (SKST Hodonín)</v>
      </c>
      <c r="C19" s="38" t="s">
        <v>23</v>
      </c>
      <c r="D19" s="39" t="str">
        <f>IF(Y21+Z21=0,"",CONCATENATE(Y21,":",Z21))</f>
        <v>3:0</v>
      </c>
      <c r="E19" s="39" t="str">
        <f>IF(Y23+Z23=0,"",CONCATENATE(Z23,":",Y23))</f>
        <v>2:3</v>
      </c>
      <c r="F19" s="40" t="str">
        <f>IF(Y18+Z18=0,"",CONCATENATE(Y18,":",Z18))</f>
        <v>3:1</v>
      </c>
      <c r="G19" s="41">
        <f>IF(AE18+AE21+AF23=0,"",AE18+AE21+AF23)</f>
        <v>5</v>
      </c>
      <c r="H19" s="113">
        <v>2</v>
      </c>
      <c r="J19" s="24" t="str">
        <f t="shared" si="20"/>
        <v>Pilitowská Lea - Dreits Anastasiia</v>
      </c>
      <c r="K19" s="24" t="str">
        <f t="shared" si="21"/>
        <v>0 : 3 (-7,-5,-5)</v>
      </c>
      <c r="M19" s="121" t="str">
        <f>CONCATENATE("1.st. ",úvod!$C$8," - ",M17)</f>
        <v>1.st. U19 - ženy Skupina C</v>
      </c>
      <c r="N19" s="121">
        <f>A20</f>
        <v>49</v>
      </c>
      <c r="O19" s="121" t="str">
        <f>IF($N19=0,"----------",VLOOKUP($N19,sez!$A$2:$C$258,2))</f>
        <v>Pilitowská Lea</v>
      </c>
      <c r="P19" s="121" t="str">
        <f>IF($N19=0,"",VLOOKUP($N19,sez!$A$2:$D$258,4))</f>
        <v>KST Blansko</v>
      </c>
      <c r="Q19" s="121">
        <f>A21</f>
        <v>45</v>
      </c>
      <c r="R19" s="121" t="str">
        <f>IF($Q19=0,"----------",VLOOKUP($Q19,sez!$A$2:$C$258,2))</f>
        <v>Dreits Anastasiia</v>
      </c>
      <c r="S19" s="121" t="str">
        <f>IF($Q19=0,"",VLOOKUP($Q19,sez!$A$2:$D$258,4))</f>
        <v>Tišnov</v>
      </c>
      <c r="T19" s="56" t="s">
        <v>79</v>
      </c>
      <c r="U19" s="57" t="s">
        <v>80</v>
      </c>
      <c r="V19" s="57" t="s">
        <v>80</v>
      </c>
      <c r="W19" s="57"/>
      <c r="X19" s="58"/>
      <c r="Y19" s="24">
        <f t="shared" si="22"/>
        <v>0</v>
      </c>
      <c r="Z19" s="24">
        <f t="shared" si="23"/>
        <v>3</v>
      </c>
      <c r="AA19" s="24">
        <f t="shared" si="24"/>
        <v>45</v>
      </c>
      <c r="AB19" s="24" t="str">
        <f>IF($AA19=0,"",VLOOKUP($AA19,sez!$A$2:$C$258,2))</f>
        <v>Dreits Anastasiia</v>
      </c>
      <c r="AC19" s="24" t="str">
        <f t="shared" si="25"/>
        <v>3:0 (7,5,5)</v>
      </c>
      <c r="AD19" s="122" t="str">
        <f t="shared" si="26"/>
        <v>3:0 (7,5,5)</v>
      </c>
      <c r="AE19" s="122">
        <f t="shared" si="27"/>
        <v>1</v>
      </c>
      <c r="AF19" s="122">
        <f t="shared" si="28"/>
        <v>2</v>
      </c>
      <c r="AH19" s="122">
        <f t="shared" si="29"/>
        <v>-1</v>
      </c>
      <c r="AI19" s="122">
        <f t="shared" si="29"/>
        <v>-1</v>
      </c>
      <c r="AJ19" s="122">
        <f t="shared" si="29"/>
        <v>-1</v>
      </c>
      <c r="AK19" s="122">
        <f t="shared" si="29"/>
        <v>0</v>
      </c>
      <c r="AL19" s="122">
        <f t="shared" si="29"/>
        <v>0</v>
      </c>
      <c r="AN19" s="122" t="str">
        <f>CONCATENATE(AO19,AO20,AO21,AO22,)</f>
        <v>&lt;TR&gt;&lt;TD&gt;43&lt;TD width=200&gt;Holubová Simona (SKST Hodonín)&lt;TD&gt;XXX&lt;TD&gt;3:0&lt;TD&gt;2:3&lt;TD&gt;3:1&lt;TD&gt;5&lt;TD&gt;2&lt;/TD&gt;&lt;/TR&gt;&lt;TR&gt;&lt;TD&gt;49&lt;TD width=200&gt;Pilitowská Lea (KST Blansko)&lt;TD&gt;0:3&lt;TD&gt;XXX&lt;TD&gt;0:3&lt;TD&gt;3:0&lt;TD&gt;4&lt;TD&gt;3&lt;/TD&gt;&lt;/TR&gt;&lt;TR&gt;&lt;TD&gt;45&lt;TD width=200&gt;Dreits Anastasiia (Tišnov)&lt;TD&gt;3:2&lt;TD&gt;3:0&lt;TD&gt;XXX&lt;TD&gt;3:1&lt;TD&gt;6&lt;TD&gt;1&lt;/TD&gt;&lt;/TR&gt;&lt;TR&gt;&lt;TD&gt;51&lt;TD width=200&gt;Bedřichová Ema (Klobouky u Brna)&lt;TD&gt;1:3&lt;TD&gt;0:3&lt;TD&gt;1:3&lt;TD&gt;XXX&lt;TD&gt;3&lt;TD&gt;4&lt;/TD&gt;&lt;/TR&gt;</v>
      </c>
      <c r="AO19" s="122" t="str">
        <f>CONCATENATE("&lt;TR&gt;&lt;TD&gt;",A19,"&lt;TD width=200&gt;",B19,"&lt;TD&gt;",C19,"&lt;TD&gt;",D19,"&lt;TD&gt;",E19,"&lt;TD&gt;",F19,"&lt;TD&gt;",G19,"&lt;TD&gt;",H19,"&lt;/TD&gt;&lt;/TR&gt;")</f>
        <v>&lt;TR&gt;&lt;TD&gt;43&lt;TD width=200&gt;Holubová Simona (SKST Hodonín)&lt;TD&gt;XXX&lt;TD&gt;3:0&lt;TD&gt;2:3&lt;TD&gt;3:1&lt;TD&gt;5&lt;TD&gt;2&lt;/TD&gt;&lt;/TR&gt;</v>
      </c>
      <c r="AP19" s="122" t="str">
        <f>CONCATENATE("&lt;TR&gt;&lt;TD&gt;",J19,"&lt;TD&gt;",K19,"&lt;/TD&gt;&lt;/TR&gt;")</f>
        <v>&lt;TR&gt;&lt;TD&gt;Pilitowská Lea - Dreits Anastasiia&lt;TD&gt;0 : 3 (-7,-5,-5)&lt;/TD&gt;&lt;/TR&gt;</v>
      </c>
    </row>
    <row r="20" spans="1:42" ht="16.5" customHeight="1" x14ac:dyDescent="0.2">
      <c r="A20" s="117">
        <v>49</v>
      </c>
      <c r="B20" s="31" t="str">
        <f>IF($A20="","",CONCATENATE(VLOOKUP($A20,sez!$A$2:$B$258,2)," (",VLOOKUP($A20,sez!$A$2:$E$259,4),")"))</f>
        <v>Pilitowská Lea (KST Blansko)</v>
      </c>
      <c r="C20" s="35" t="str">
        <f>IF(Y21+Z21=0,"",CONCATENATE(Z21,":",Y21))</f>
        <v>0:3</v>
      </c>
      <c r="D20" s="27" t="s">
        <v>23</v>
      </c>
      <c r="E20" s="27" t="str">
        <f>IF(Y19+Z19=0,"",CONCATENATE(Y19,":",Z19))</f>
        <v>0:3</v>
      </c>
      <c r="F20" s="28" t="str">
        <f>IF(Y22+Z22=0,"",CONCATENATE(Y22,":",Z22))</f>
        <v>3:0</v>
      </c>
      <c r="G20" s="33">
        <f>IF(AE19+AF21+AE22=0,"",AE19+AF21+AE22)</f>
        <v>4</v>
      </c>
      <c r="H20" s="114">
        <v>3</v>
      </c>
      <c r="I20" s="25"/>
      <c r="J20" s="24" t="str">
        <f t="shared" si="20"/>
        <v>Bedřichová Ema - Dreits Anastasiia</v>
      </c>
      <c r="K20" s="24" t="str">
        <f t="shared" si="21"/>
        <v>1 : 3 (8,-7,-7,-2)</v>
      </c>
      <c r="M20" s="121" t="str">
        <f>CONCATENATE("1.st. ",úvod!$C$8," - ",M17)</f>
        <v>1.st. U19 - ženy Skupina C</v>
      </c>
      <c r="N20" s="121">
        <f>A22</f>
        <v>51</v>
      </c>
      <c r="O20" s="121" t="str">
        <f>IF($N20=0,"----------",VLOOKUP($N20,sez!$A$2:$C$258,2))</f>
        <v>Bedřichová Ema</v>
      </c>
      <c r="P20" s="121" t="str">
        <f>IF($N20=0,"",VLOOKUP($N20,sez!$A$2:$D$258,4))</f>
        <v>Klobouky u Brna</v>
      </c>
      <c r="Q20" s="121">
        <f>A21</f>
        <v>45</v>
      </c>
      <c r="R20" s="121" t="str">
        <f>IF($Q20=0,"----------",VLOOKUP($Q20,sez!$A$2:$C$258,2))</f>
        <v>Dreits Anastasiia</v>
      </c>
      <c r="S20" s="121" t="str">
        <f>IF($Q20=0,"",VLOOKUP($Q20,sez!$A$2:$D$258,4))</f>
        <v>Tišnov</v>
      </c>
      <c r="T20" s="56" t="s">
        <v>82</v>
      </c>
      <c r="U20" s="57" t="s">
        <v>79</v>
      </c>
      <c r="V20" s="57" t="s">
        <v>79</v>
      </c>
      <c r="W20" s="57" t="s">
        <v>74</v>
      </c>
      <c r="X20" s="58"/>
      <c r="Y20" s="24">
        <f t="shared" si="22"/>
        <v>1</v>
      </c>
      <c r="Z20" s="24">
        <f t="shared" si="23"/>
        <v>3</v>
      </c>
      <c r="AA20" s="24">
        <f t="shared" si="24"/>
        <v>45</v>
      </c>
      <c r="AB20" s="24" t="str">
        <f>IF($AA20=0,"",VLOOKUP($AA20,sez!$A$2:$C$258,2))</f>
        <v>Dreits Anastasiia</v>
      </c>
      <c r="AC20" s="24" t="str">
        <f t="shared" si="25"/>
        <v>3:1 (-8,7,7,2)</v>
      </c>
      <c r="AD20" s="122" t="str">
        <f t="shared" si="26"/>
        <v>3:1 (-8,7,7,2)</v>
      </c>
      <c r="AE20" s="122">
        <f t="shared" si="27"/>
        <v>1</v>
      </c>
      <c r="AF20" s="122">
        <f t="shared" si="28"/>
        <v>2</v>
      </c>
      <c r="AH20" s="122">
        <f t="shared" si="29"/>
        <v>1</v>
      </c>
      <c r="AI20" s="122">
        <f t="shared" si="29"/>
        <v>-1</v>
      </c>
      <c r="AJ20" s="122">
        <f t="shared" si="29"/>
        <v>-1</v>
      </c>
      <c r="AK20" s="122">
        <f t="shared" si="29"/>
        <v>-1</v>
      </c>
      <c r="AL20" s="122">
        <f t="shared" si="29"/>
        <v>0</v>
      </c>
      <c r="AN20" s="122" t="str">
        <f>CONCATENATE("&lt;/Table&gt;&lt;TD width=420&gt;&lt;Table&gt;")</f>
        <v>&lt;/Table&gt;&lt;TD width=420&gt;&lt;Table&gt;</v>
      </c>
      <c r="AO20" s="122" t="str">
        <f>CONCATENATE("&lt;TR&gt;&lt;TD&gt;",A20,"&lt;TD width=200&gt;",B20,"&lt;TD&gt;",C20,"&lt;TD&gt;",D20,"&lt;TD&gt;",E20,"&lt;TD&gt;",F20,"&lt;TD&gt;",G20,"&lt;TD&gt;",H20,"&lt;/TD&gt;&lt;/TR&gt;")</f>
        <v>&lt;TR&gt;&lt;TD&gt;49&lt;TD width=200&gt;Pilitowská Lea (KST Blansko)&lt;TD&gt;0:3&lt;TD&gt;XXX&lt;TD&gt;0:3&lt;TD&gt;3:0&lt;TD&gt;4&lt;TD&gt;3&lt;/TD&gt;&lt;/TR&gt;</v>
      </c>
      <c r="AP20" s="122" t="str">
        <f>CONCATENATE("&lt;TR&gt;&lt;TD&gt;",J20,"&lt;TD&gt;",K20,"&lt;/TD&gt;&lt;/TR&gt;")</f>
        <v>&lt;TR&gt;&lt;TD&gt;Bedřichová Ema - Dreits Anastasiia&lt;TD&gt;1 : 3 (8,-7,-7,-2)&lt;/TD&gt;&lt;/TR&gt;</v>
      </c>
    </row>
    <row r="21" spans="1:42" ht="16.5" customHeight="1" x14ac:dyDescent="0.2">
      <c r="A21" s="117">
        <v>45</v>
      </c>
      <c r="B21" s="31" t="str">
        <f>IF($A21="","",CONCATENATE(VLOOKUP($A21,sez!$A$2:$B$258,2)," (",VLOOKUP($A21,sez!$A$2:$E$259,4),")"))</f>
        <v>Dreits Anastasiia (Tišnov)</v>
      </c>
      <c r="C21" s="35" t="str">
        <f>IF(Y23+Z23=0,"",CONCATENATE(Y23,":",Z23))</f>
        <v>3:2</v>
      </c>
      <c r="D21" s="27" t="str">
        <f>IF(Y19+Z19=0,"",CONCATENATE(Z19,":",Y19))</f>
        <v>3:0</v>
      </c>
      <c r="E21" s="27" t="s">
        <v>23</v>
      </c>
      <c r="F21" s="28" t="str">
        <f>IF(Y20+Z20=0,"",CONCATENATE(Z20,":",Y20))</f>
        <v>3:1</v>
      </c>
      <c r="G21" s="33">
        <f>IF(AF19+AF20+AE23=0,"",AF19+AF20+AE23)</f>
        <v>6</v>
      </c>
      <c r="H21" s="114">
        <v>1</v>
      </c>
      <c r="I21" s="25"/>
      <c r="J21" s="24" t="str">
        <f t="shared" si="20"/>
        <v>Holubová Simona - Pilitowská Lea</v>
      </c>
      <c r="K21" s="24" t="str">
        <f t="shared" si="21"/>
        <v>3 : 0 (8,6,5)</v>
      </c>
      <c r="M21" s="121" t="str">
        <f>CONCATENATE("1.st. ",úvod!$C$8," - ",M17)</f>
        <v>1.st. U19 - ženy Skupina C</v>
      </c>
      <c r="N21" s="121">
        <f>A19</f>
        <v>43</v>
      </c>
      <c r="O21" s="121" t="str">
        <f>IF($N21=0,"----------",VLOOKUP($N21,sez!$A$2:$C$258,2))</f>
        <v>Holubová Simona</v>
      </c>
      <c r="P21" s="121" t="str">
        <f>IF($N21=0,"",VLOOKUP($N21,sez!$A$2:$D$258,4))</f>
        <v>SKST Hodonín</v>
      </c>
      <c r="Q21" s="121">
        <f>A20</f>
        <v>49</v>
      </c>
      <c r="R21" s="121" t="str">
        <f>IF($Q21=0,"----------",VLOOKUP($Q21,sez!$A$2:$C$258,2))</f>
        <v>Pilitowská Lea</v>
      </c>
      <c r="S21" s="121" t="str">
        <f>IF($Q21=0,"",VLOOKUP($Q21,sez!$A$2:$D$258,4))</f>
        <v>KST Blansko</v>
      </c>
      <c r="T21" s="56" t="s">
        <v>82</v>
      </c>
      <c r="U21" s="57" t="s">
        <v>83</v>
      </c>
      <c r="V21" s="57" t="s">
        <v>70</v>
      </c>
      <c r="W21" s="57"/>
      <c r="X21" s="58"/>
      <c r="Y21" s="24">
        <f t="shared" si="22"/>
        <v>3</v>
      </c>
      <c r="Z21" s="24">
        <f t="shared" si="23"/>
        <v>0</v>
      </c>
      <c r="AA21" s="24">
        <f t="shared" si="24"/>
        <v>43</v>
      </c>
      <c r="AB21" s="24" t="str">
        <f>IF($AA21=0,"",VLOOKUP($AA21,sez!$A$2:$C$258,2))</f>
        <v>Holubová Simona</v>
      </c>
      <c r="AC21" s="24" t="str">
        <f t="shared" si="25"/>
        <v>3:0 (8,6,5)</v>
      </c>
      <c r="AD21" s="122" t="str">
        <f t="shared" si="26"/>
        <v>3:0 (8,6,5)</v>
      </c>
      <c r="AE21" s="122">
        <f t="shared" si="27"/>
        <v>2</v>
      </c>
      <c r="AF21" s="122">
        <f t="shared" si="28"/>
        <v>1</v>
      </c>
      <c r="AH21" s="122">
        <f t="shared" si="29"/>
        <v>1</v>
      </c>
      <c r="AI21" s="122">
        <f t="shared" si="29"/>
        <v>1</v>
      </c>
      <c r="AJ21" s="122">
        <f t="shared" si="29"/>
        <v>1</v>
      </c>
      <c r="AK21" s="122">
        <f t="shared" si="29"/>
        <v>0</v>
      </c>
      <c r="AL21" s="122">
        <f t="shared" si="29"/>
        <v>0</v>
      </c>
      <c r="AN21" s="122" t="str">
        <f>CONCATENATE(AP18,AP19,AP20,AP21,AP22,AP23,)</f>
        <v>&lt;TR&gt;&lt;TD width=250&gt;Holubová Simona - Bedřichová Ema&lt;TD&gt;3 : 1 (1,4,-7,13)&lt;/TD&gt;&lt;/TR&gt;&lt;TR&gt;&lt;TD&gt;Pilitowská Lea - Dreits Anastasiia&lt;TD&gt;0 : 3 (-7,-5,-5)&lt;/TD&gt;&lt;/TR&gt;&lt;TR&gt;&lt;TD&gt;Bedřichová Ema - Dreits Anastasiia&lt;TD&gt;1 : 3 (8,-7,-7,-2)&lt;/TD&gt;&lt;/TR&gt;&lt;TR&gt;&lt;TD&gt;Holubová Simona - Pilitowská Lea&lt;TD&gt;3 : 0 (8,6,5)&lt;/TD&gt;&lt;/TR&gt;&lt;TR&gt;&lt;TD&gt;Pilitowská Lea - Bedřichová Ema&lt;TD&gt;3 : 0 (8,4,5)&lt;/TD&gt;&lt;/TR&gt;&lt;TR&gt;&lt;TD&gt;Dreits Anastasiia - Holubová Simona&lt;TD&gt;3 : 2 (-7,10,-12,6,8)&lt;/TD&gt;&lt;/TR&gt;</v>
      </c>
      <c r="AO21" s="122" t="str">
        <f>CONCATENATE("&lt;TR&gt;&lt;TD&gt;",A21,"&lt;TD width=200&gt;",B21,"&lt;TD&gt;",C21,"&lt;TD&gt;",D21,"&lt;TD&gt;",E21,"&lt;TD&gt;",F21,"&lt;TD&gt;",G21,"&lt;TD&gt;",H21,"&lt;/TD&gt;&lt;/TR&gt;")</f>
        <v>&lt;TR&gt;&lt;TD&gt;45&lt;TD width=200&gt;Dreits Anastasiia (Tišnov)&lt;TD&gt;3:2&lt;TD&gt;3:0&lt;TD&gt;XXX&lt;TD&gt;3:1&lt;TD&gt;6&lt;TD&gt;1&lt;/TD&gt;&lt;/TR&gt;</v>
      </c>
      <c r="AP21" s="122" t="str">
        <f>CONCATENATE("&lt;TR&gt;&lt;TD&gt;",J21,"&lt;TD&gt;",K21,"&lt;/TD&gt;&lt;/TR&gt;")</f>
        <v>&lt;TR&gt;&lt;TD&gt;Holubová Simona - Pilitowská Lea&lt;TD&gt;3 : 0 (8,6,5)&lt;/TD&gt;&lt;/TR&gt;</v>
      </c>
    </row>
    <row r="22" spans="1:42" ht="16.5" customHeight="1" thickBot="1" x14ac:dyDescent="0.25">
      <c r="A22" s="118">
        <v>51</v>
      </c>
      <c r="B22" s="32" t="str">
        <f>IF($A22="","",CONCATENATE(VLOOKUP($A22,sez!$A$2:$B$258,2)," (",VLOOKUP($A22,sez!$A$2:$E$259,4),")"))</f>
        <v>Bedřichová Ema (Klobouky u Brna)</v>
      </c>
      <c r="C22" s="36" t="str">
        <f>IF(Y18+Z18=0,"",CONCATENATE(Z18,":",Y18))</f>
        <v>1:3</v>
      </c>
      <c r="D22" s="29" t="str">
        <f>IF(Y22+Z22=0,"",CONCATENATE(Z22,":",Y22))</f>
        <v>0:3</v>
      </c>
      <c r="E22" s="29" t="str">
        <f>IF(Y20+Z20=0,"",CONCATENATE(Y20,":",Z20))</f>
        <v>1:3</v>
      </c>
      <c r="F22" s="30" t="s">
        <v>23</v>
      </c>
      <c r="G22" s="34">
        <f>IF(AF18+AE20+AF22=0,"",AF18+AE20+AF22)</f>
        <v>3</v>
      </c>
      <c r="H22" s="115">
        <v>4</v>
      </c>
      <c r="I22" s="25"/>
      <c r="J22" s="24" t="str">
        <f t="shared" si="20"/>
        <v>Pilitowská Lea - Bedřichová Ema</v>
      </c>
      <c r="K22" s="24" t="str">
        <f t="shared" si="21"/>
        <v>3 : 0 (8,4,5)</v>
      </c>
      <c r="M22" s="121" t="str">
        <f>CONCATENATE("1.st. ",úvod!$C$8," - ",M17)</f>
        <v>1.st. U19 - ženy Skupina C</v>
      </c>
      <c r="N22" s="121">
        <f>A20</f>
        <v>49</v>
      </c>
      <c r="O22" s="121" t="str">
        <f>IF($N22=0,"----------",VLOOKUP($N22,sez!$A$2:$C$258,2))</f>
        <v>Pilitowská Lea</v>
      </c>
      <c r="P22" s="121" t="str">
        <f>IF($N22=0,"",VLOOKUP($N22,sez!$A$2:$D$258,4))</f>
        <v>KST Blansko</v>
      </c>
      <c r="Q22" s="121">
        <f>A22</f>
        <v>51</v>
      </c>
      <c r="R22" s="121" t="str">
        <f>IF($Q22=0,"----------",VLOOKUP($Q22,sez!$A$2:$C$258,2))</f>
        <v>Bedřichová Ema</v>
      </c>
      <c r="S22" s="121" t="str">
        <f>IF($Q22=0,"",VLOOKUP($Q22,sez!$A$2:$D$258,4))</f>
        <v>Klobouky u Brna</v>
      </c>
      <c r="T22" s="56" t="s">
        <v>82</v>
      </c>
      <c r="U22" s="57" t="s">
        <v>86</v>
      </c>
      <c r="V22" s="57" t="s">
        <v>70</v>
      </c>
      <c r="W22" s="57"/>
      <c r="X22" s="58"/>
      <c r="Y22" s="24">
        <f t="shared" si="22"/>
        <v>3</v>
      </c>
      <c r="Z22" s="24">
        <f t="shared" si="23"/>
        <v>0</v>
      </c>
      <c r="AA22" s="24">
        <f t="shared" si="24"/>
        <v>49</v>
      </c>
      <c r="AB22" s="24" t="str">
        <f>IF($AA22=0,"",VLOOKUP($AA22,sez!$A$2:$C$258,2))</f>
        <v>Pilitowská Lea</v>
      </c>
      <c r="AC22" s="24" t="str">
        <f t="shared" si="25"/>
        <v>3:0 (8,4,5)</v>
      </c>
      <c r="AD22" s="122" t="str">
        <f t="shared" si="26"/>
        <v>3:0 (8,4,5)</v>
      </c>
      <c r="AE22" s="122">
        <f t="shared" si="27"/>
        <v>2</v>
      </c>
      <c r="AF22" s="122">
        <f t="shared" si="28"/>
        <v>1</v>
      </c>
      <c r="AH22" s="122">
        <f t="shared" si="29"/>
        <v>1</v>
      </c>
      <c r="AI22" s="122">
        <f t="shared" si="29"/>
        <v>1</v>
      </c>
      <c r="AJ22" s="122">
        <f t="shared" si="29"/>
        <v>1</v>
      </c>
      <c r="AK22" s="122">
        <f t="shared" si="29"/>
        <v>0</v>
      </c>
      <c r="AL22" s="122">
        <f t="shared" si="29"/>
        <v>0</v>
      </c>
      <c r="AN22" s="122" t="str">
        <f>CONCATENATE("&lt;/Table&gt;&lt;/TD&gt;&lt;/TR&gt;&lt;/Table&gt;&lt;P&gt;")</f>
        <v>&lt;/Table&gt;&lt;/TD&gt;&lt;/TR&gt;&lt;/Table&gt;&lt;P&gt;</v>
      </c>
      <c r="AO22" s="122" t="str">
        <f>CONCATENATE("&lt;TR&gt;&lt;TD&gt;",A22,"&lt;TD width=200&gt;",B22,"&lt;TD&gt;",C22,"&lt;TD&gt;",D22,"&lt;TD&gt;",E22,"&lt;TD&gt;",F22,"&lt;TD&gt;",G22,"&lt;TD&gt;",H22,"&lt;/TD&gt;&lt;/TR&gt;")</f>
        <v>&lt;TR&gt;&lt;TD&gt;51&lt;TD width=200&gt;Bedřichová Ema (Klobouky u Brna)&lt;TD&gt;1:3&lt;TD&gt;0:3&lt;TD&gt;1:3&lt;TD&gt;XXX&lt;TD&gt;3&lt;TD&gt;4&lt;/TD&gt;&lt;/TR&gt;</v>
      </c>
      <c r="AP22" s="122" t="str">
        <f>CONCATENATE("&lt;TR&gt;&lt;TD&gt;",J22,"&lt;TD&gt;",K22,"&lt;/TD&gt;&lt;/TR&gt;")</f>
        <v>&lt;TR&gt;&lt;TD&gt;Pilitowská Lea - Bedřichová Ema&lt;TD&gt;3 : 0 (8,4,5)&lt;/TD&gt;&lt;/TR&gt;</v>
      </c>
    </row>
    <row r="23" spans="1:42" ht="16.5" customHeight="1" thickTop="1" thickBot="1" x14ac:dyDescent="0.25">
      <c r="I23" s="25"/>
      <c r="J23" s="24" t="str">
        <f t="shared" si="20"/>
        <v>Dreits Anastasiia - Holubová Simona</v>
      </c>
      <c r="K23" s="24" t="str">
        <f t="shared" si="21"/>
        <v>3 : 2 (-7,10,-12,6,8)</v>
      </c>
      <c r="M23" s="121" t="str">
        <f>CONCATENATE("1.st. ",úvod!$C$8," - ",M17)</f>
        <v>1.st. U19 - ženy Skupina C</v>
      </c>
      <c r="N23" s="121">
        <f>A21</f>
        <v>45</v>
      </c>
      <c r="O23" s="121" t="str">
        <f>IF($N23=0,"----------",VLOOKUP($N23,sez!$A$2:$C$258,2))</f>
        <v>Dreits Anastasiia</v>
      </c>
      <c r="P23" s="121" t="str">
        <f>IF($N23=0,"",VLOOKUP($N23,sez!$A$2:$D$258,4))</f>
        <v>Tišnov</v>
      </c>
      <c r="Q23" s="121">
        <f>A19</f>
        <v>43</v>
      </c>
      <c r="R23" s="121" t="str">
        <f>IF($Q23=0,"----------",VLOOKUP($Q23,sez!$A$2:$C$258,2))</f>
        <v>Holubová Simona</v>
      </c>
      <c r="S23" s="121" t="str">
        <f>IF($Q23=0,"",VLOOKUP($Q23,sez!$A$2:$D$258,4))</f>
        <v>SKST Hodonín</v>
      </c>
      <c r="T23" s="59" t="s">
        <v>79</v>
      </c>
      <c r="U23" s="60" t="s">
        <v>90</v>
      </c>
      <c r="V23" s="60" t="s">
        <v>93</v>
      </c>
      <c r="W23" s="60" t="s">
        <v>83</v>
      </c>
      <c r="X23" s="61" t="s">
        <v>82</v>
      </c>
      <c r="Y23" s="24">
        <f t="shared" si="22"/>
        <v>3</v>
      </c>
      <c r="Z23" s="24">
        <f t="shared" si="23"/>
        <v>2</v>
      </c>
      <c r="AA23" s="24">
        <f t="shared" si="24"/>
        <v>45</v>
      </c>
      <c r="AB23" s="24" t="str">
        <f>IF($AA23=0,"",VLOOKUP($AA23,sez!$A$2:$C$258,2))</f>
        <v>Dreits Anastasiia</v>
      </c>
      <c r="AC23" s="24" t="str">
        <f t="shared" si="25"/>
        <v>3:2 (-7,10,-12,6,8)</v>
      </c>
      <c r="AD23" s="122" t="str">
        <f t="shared" si="26"/>
        <v>3:2 (-7,10,-12,6,8)</v>
      </c>
      <c r="AE23" s="122">
        <f t="shared" si="27"/>
        <v>2</v>
      </c>
      <c r="AF23" s="122">
        <f t="shared" si="28"/>
        <v>1</v>
      </c>
      <c r="AH23" s="122">
        <f t="shared" si="29"/>
        <v>-1</v>
      </c>
      <c r="AI23" s="122">
        <f t="shared" si="29"/>
        <v>1</v>
      </c>
      <c r="AJ23" s="122">
        <f t="shared" si="29"/>
        <v>-1</v>
      </c>
      <c r="AK23" s="122">
        <f t="shared" si="29"/>
        <v>1</v>
      </c>
      <c r="AL23" s="122">
        <f t="shared" si="29"/>
        <v>1</v>
      </c>
      <c r="AP23" s="122" t="str">
        <f>CONCATENATE("&lt;TR&gt;&lt;TD&gt;",J23,"&lt;TD&gt;",K23,"&lt;/TD&gt;&lt;/TR&gt;")</f>
        <v>&lt;TR&gt;&lt;TD&gt;Dreits Anastasiia - Holubová Simona&lt;TD&gt;3 : 2 (-7,10,-12,6,8)&lt;/TD&gt;&lt;/TR&gt;</v>
      </c>
    </row>
    <row r="24" spans="1:42" ht="16.5" customHeight="1" thickTop="1" thickBot="1" x14ac:dyDescent="0.25">
      <c r="I24" s="25"/>
      <c r="M24" s="25" t="str">
        <f>B25</f>
        <v>ženy Skupina D</v>
      </c>
      <c r="N24" s="25" t="s">
        <v>0</v>
      </c>
      <c r="O24" s="25" t="s">
        <v>1</v>
      </c>
      <c r="P24" s="25" t="s">
        <v>2</v>
      </c>
      <c r="Q24" s="25" t="s">
        <v>0</v>
      </c>
      <c r="R24" s="25" t="s">
        <v>3</v>
      </c>
      <c r="S24" s="25" t="s">
        <v>2</v>
      </c>
      <c r="T24" s="26" t="s">
        <v>4</v>
      </c>
      <c r="U24" s="26" t="s">
        <v>5</v>
      </c>
      <c r="V24" s="26" t="s">
        <v>6</v>
      </c>
      <c r="W24" s="26" t="s">
        <v>7</v>
      </c>
      <c r="X24" s="26" t="s">
        <v>8</v>
      </c>
      <c r="Y24" s="25" t="s">
        <v>9</v>
      </c>
      <c r="Z24" s="25" t="s">
        <v>10</v>
      </c>
      <c r="AA24" s="25" t="s">
        <v>11</v>
      </c>
      <c r="AN24" s="122" t="s">
        <v>18</v>
      </c>
    </row>
    <row r="25" spans="1:42" ht="16.5" customHeight="1" thickTop="1" thickBot="1" x14ac:dyDescent="0.25">
      <c r="A25" s="42"/>
      <c r="B25" s="43" t="s">
        <v>109</v>
      </c>
      <c r="C25" s="44">
        <v>1</v>
      </c>
      <c r="D25" s="45">
        <v>2</v>
      </c>
      <c r="E25" s="45">
        <v>3</v>
      </c>
      <c r="F25" s="46">
        <v>4</v>
      </c>
      <c r="G25" s="47" t="s">
        <v>16</v>
      </c>
      <c r="H25" s="46" t="s">
        <v>17</v>
      </c>
      <c r="I25" s="25"/>
      <c r="J25" s="24" t="str">
        <f t="shared" ref="J25:J30" si="30">CONCATENATE(O25," - ",R25)</f>
        <v>---------- - ----------</v>
      </c>
      <c r="K25" s="24" t="str">
        <f t="shared" ref="K25:K30" si="31">IF(SUM(Y25:Z25)=0,AD25,CONCATENATE(Y25," : ",Z25," (",T25,",",U25,",",V25,IF(Y25+Z25&gt;3,",",""),W25,IF(Y25+Z25&gt;4,",",""),X25,")"))</f>
        <v/>
      </c>
      <c r="M25" s="121" t="str">
        <f>CONCATENATE("1.st. ",úvod!$C$8," - ",M24)</f>
        <v>1.st. U19 - ženy Skupina D</v>
      </c>
      <c r="N25" s="121">
        <f>A26</f>
        <v>0</v>
      </c>
      <c r="O25" s="121" t="str">
        <f>IF($N25=0,"----------",VLOOKUP($N25,sez!$A$2:$C$258,2))</f>
        <v>----------</v>
      </c>
      <c r="P25" s="121" t="str">
        <f>IF($N25=0,"",VLOOKUP($N25,sez!$A$2:$D$258,4))</f>
        <v/>
      </c>
      <c r="Q25" s="121">
        <f>A29</f>
        <v>0</v>
      </c>
      <c r="R25" s="121" t="str">
        <f>IF($Q25=0,"----------",VLOOKUP($Q25,sez!$A$2:$C$258,2))</f>
        <v>----------</v>
      </c>
      <c r="S25" s="121" t="str">
        <f>IF($Q25=0,"",VLOOKUP($Q25,sez!$A$2:$D$258,4))</f>
        <v/>
      </c>
      <c r="T25" s="53"/>
      <c r="U25" s="54"/>
      <c r="V25" s="54"/>
      <c r="W25" s="54"/>
      <c r="X25" s="55"/>
      <c r="Y25" s="24">
        <f t="shared" ref="Y25:Y30" si="32">COUNTIF(AH25:AL25,"&gt;0")</f>
        <v>0</v>
      </c>
      <c r="Z25" s="24">
        <f t="shared" ref="Z25:Z30" si="33">COUNTIF(AH25:AL25,"&lt;0")</f>
        <v>0</v>
      </c>
      <c r="AA25" s="24">
        <f t="shared" ref="AA25:AA30" si="34">IF(Y25=Z25,0,IF(Y25&gt;Z25,N25,Q25))</f>
        <v>0</v>
      </c>
      <c r="AB25" s="24" t="str">
        <f>IF($AA25=0,"",VLOOKUP($AA25,sez!$A$2:$C$258,2))</f>
        <v/>
      </c>
      <c r="AC25" s="24" t="str">
        <f t="shared" ref="AC25:AC30" si="35">IF(Y25=Z25,"",IF(Y25&gt;Z25,CONCATENATE(Y25,":",Z25," (",T25,",",U25,",",V25,IF(SUM(Y25:Z25)&gt;3,",",""),W25,IF(SUM(Y25:Z25)&gt;4,",",""),X25,")"),CONCATENATE(Z25,":",Y25," (",-T25,",",-U25,",",-V25,IF(SUM(Y25:Z25)&gt;3,CONCATENATE(",",-W25),""),IF(SUM(Y25:Z25)&gt;4,CONCATENATE(",",-X25),""),")")))</f>
        <v/>
      </c>
      <c r="AD25" s="122" t="str">
        <f t="shared" ref="AD25:AD30" si="36">IF(SUM(Y25:Z25)=0,"",AC25)</f>
        <v/>
      </c>
      <c r="AE25" s="122">
        <f t="shared" ref="AE25:AE30" si="37">IF(T25="",0,IF(Y25&gt;Z25,2,1))</f>
        <v>0</v>
      </c>
      <c r="AF25" s="122">
        <f t="shared" ref="AF25:AF30" si="38">IF(T25="",0,IF(Z25&gt;Y25,2,1))</f>
        <v>0</v>
      </c>
      <c r="AH25" s="122">
        <f t="shared" ref="AH25:AL30" si="39">IF(T25="",0,IF(MID(T25,1,1)="-",-1,1))</f>
        <v>0</v>
      </c>
      <c r="AI25" s="122">
        <f t="shared" si="39"/>
        <v>0</v>
      </c>
      <c r="AJ25" s="122">
        <f t="shared" si="39"/>
        <v>0</v>
      </c>
      <c r="AK25" s="122">
        <f t="shared" si="39"/>
        <v>0</v>
      </c>
      <c r="AL25" s="122">
        <f t="shared" si="39"/>
        <v>0</v>
      </c>
      <c r="AN25" s="122" t="str">
        <f>CONCATENATE("&lt;Table border=1 cellpading=0 cellspacing=0 width=480&gt;&lt;TR&gt;&lt;TH colspan=2&gt;",B25,"&lt;TH&gt;1&lt;TH&gt;2&lt;TH&gt;3&lt;TH&gt;4&lt;TH&gt;Body&lt;TH&gt;Pořadí&lt;/TH&gt;&lt;/TR&gt;")</f>
        <v>&lt;Table border=1 cellpading=0 cellspacing=0 width=480&gt;&lt;TR&gt;&lt;TH colspan=2&gt;ženy Skupina D&lt;TH&gt;1&lt;TH&gt;2&lt;TH&gt;3&lt;TH&gt;4&lt;TH&gt;Body&lt;TH&gt;Pořadí&lt;/TH&gt;&lt;/TR&gt;</v>
      </c>
      <c r="AP25" s="122" t="str">
        <f>CONCATENATE("&lt;TR&gt;&lt;TD width=250&gt;",J25,"&lt;TD&gt;",K25,"&lt;/TD&gt;&lt;/TR&gt;")</f>
        <v>&lt;TR&gt;&lt;TD width=250&gt;---------- - ----------&lt;TD&gt;&lt;/TD&gt;&lt;/TR&gt;</v>
      </c>
    </row>
    <row r="26" spans="1:42" ht="16.5" customHeight="1" thickTop="1" x14ac:dyDescent="0.2">
      <c r="A26" s="116"/>
      <c r="B26" s="37" t="str">
        <f>IF($A26="","",CONCATENATE(VLOOKUP($A26,sez!$A$2:$B$258,2)," (",VLOOKUP($A26,sez!$A$2:$E$259,4),")"))</f>
        <v/>
      </c>
      <c r="C26" s="38" t="s">
        <v>23</v>
      </c>
      <c r="D26" s="39" t="str">
        <f>IF(Y28+Z28=0,"",CONCATENATE(Y28,":",Z28))</f>
        <v/>
      </c>
      <c r="E26" s="39" t="str">
        <f>IF(Y30+Z30=0,"",CONCATENATE(Z30,":",Y30))</f>
        <v/>
      </c>
      <c r="F26" s="40" t="str">
        <f>IF(Y25+Z25=0,"",CONCATENATE(Y25,":",Z25))</f>
        <v/>
      </c>
      <c r="G26" s="41" t="str">
        <f>IF(AE25+AE28+AF30=0,"",AE25+AE28+AF30)</f>
        <v/>
      </c>
      <c r="H26" s="113"/>
      <c r="I26" s="25"/>
      <c r="J26" s="24" t="str">
        <f t="shared" si="30"/>
        <v>---------- - ----------</v>
      </c>
      <c r="K26" s="24" t="str">
        <f t="shared" si="31"/>
        <v/>
      </c>
      <c r="M26" s="121" t="str">
        <f>CONCATENATE("1.st. ",úvod!$C$8," - ",M24)</f>
        <v>1.st. U19 - ženy Skupina D</v>
      </c>
      <c r="N26" s="121">
        <f>A27</f>
        <v>0</v>
      </c>
      <c r="O26" s="121" t="str">
        <f>IF($N26=0,"----------",VLOOKUP($N26,sez!$A$2:$C$258,2))</f>
        <v>----------</v>
      </c>
      <c r="P26" s="121" t="str">
        <f>IF($N26=0,"",VLOOKUP($N26,sez!$A$2:$D$258,4))</f>
        <v/>
      </c>
      <c r="Q26" s="121">
        <f>A28</f>
        <v>0</v>
      </c>
      <c r="R26" s="121" t="str">
        <f>IF($Q26=0,"----------",VLOOKUP($Q26,sez!$A$2:$C$258,2))</f>
        <v>----------</v>
      </c>
      <c r="S26" s="121" t="str">
        <f>IF($Q26=0,"",VLOOKUP($Q26,sez!$A$2:$D$258,4))</f>
        <v/>
      </c>
      <c r="T26" s="56"/>
      <c r="U26" s="57"/>
      <c r="V26" s="57"/>
      <c r="W26" s="57"/>
      <c r="X26" s="58"/>
      <c r="Y26" s="24">
        <f t="shared" si="32"/>
        <v>0</v>
      </c>
      <c r="Z26" s="24">
        <f t="shared" si="33"/>
        <v>0</v>
      </c>
      <c r="AA26" s="24">
        <f t="shared" si="34"/>
        <v>0</v>
      </c>
      <c r="AB26" s="24" t="str">
        <f>IF($AA26=0,"",VLOOKUP($AA26,sez!$A$2:$C$258,2))</f>
        <v/>
      </c>
      <c r="AC26" s="24" t="str">
        <f t="shared" si="35"/>
        <v/>
      </c>
      <c r="AD26" s="122" t="str">
        <f t="shared" si="36"/>
        <v/>
      </c>
      <c r="AE26" s="122">
        <f t="shared" si="37"/>
        <v>0</v>
      </c>
      <c r="AF26" s="122">
        <f t="shared" si="38"/>
        <v>0</v>
      </c>
      <c r="AH26" s="122">
        <f t="shared" si="39"/>
        <v>0</v>
      </c>
      <c r="AI26" s="122">
        <f t="shared" si="39"/>
        <v>0</v>
      </c>
      <c r="AJ26" s="122">
        <f t="shared" si="39"/>
        <v>0</v>
      </c>
      <c r="AK26" s="122">
        <f t="shared" si="39"/>
        <v>0</v>
      </c>
      <c r="AL26" s="122">
        <f t="shared" si="39"/>
        <v>0</v>
      </c>
      <c r="AN26" s="122" t="str">
        <f>CONCATENATE(AO26,AO27,AO28,AO29,)</f>
        <v>&lt;TR&gt;&lt;TD&gt;&lt;TD width=200&gt;&lt;TD&gt;XXX&lt;TD&gt;&lt;TD&gt;&lt;TD&gt;&lt;TD&gt;&lt;TD&gt;&lt;/TD&gt;&lt;/TR&gt;&lt;TR&gt;&lt;TD&gt;&lt;TD width=200&gt;&lt;TD&gt;&lt;TD&gt;XXX&lt;TD&gt;&lt;TD&gt;&lt;TD&gt;&lt;TD&gt;&lt;/TD&gt;&lt;/TR&gt;&lt;TR&gt;&lt;TD&gt;&lt;TD width=200&gt;&lt;TD&gt;&lt;TD&gt;&lt;TD&gt;XXX&lt;TD&gt;&lt;TD&gt;&lt;TD&gt;&lt;/TD&gt;&lt;/TR&gt;&lt;TR&gt;&lt;TD&gt;&lt;TD width=200&gt;&lt;TD&gt;&lt;TD&gt;&lt;TD&gt;&lt;TD&gt;XXX&lt;TD&gt;&lt;TD&gt;&lt;/TD&gt;&lt;/TR&gt;</v>
      </c>
      <c r="AO26" s="122" t="str">
        <f>CONCATENATE("&lt;TR&gt;&lt;TD&gt;",A26,"&lt;TD width=200&gt;",B26,"&lt;TD&gt;",C26,"&lt;TD&gt;",D26,"&lt;TD&gt;",E26,"&lt;TD&gt;",F26,"&lt;TD&gt;",G26,"&lt;TD&gt;",H26,"&lt;/TD&gt;&lt;/TR&gt;")</f>
        <v>&lt;TR&gt;&lt;TD&gt;&lt;TD width=200&gt;&lt;TD&gt;XXX&lt;TD&gt;&lt;TD&gt;&lt;TD&gt;&lt;TD&gt;&lt;TD&gt;&lt;/TD&gt;&lt;/TR&gt;</v>
      </c>
      <c r="AP26" s="122" t="str">
        <f>CONCATENATE("&lt;TR&gt;&lt;TD&gt;",J26,"&lt;TD&gt;",K26,"&lt;/TD&gt;&lt;/TR&gt;")</f>
        <v>&lt;TR&gt;&lt;TD&gt;---------- - ----------&lt;TD&gt;&lt;/TD&gt;&lt;/TR&gt;</v>
      </c>
    </row>
    <row r="27" spans="1:42" ht="16.5" customHeight="1" x14ac:dyDescent="0.2">
      <c r="A27" s="117"/>
      <c r="B27" s="31" t="str">
        <f>IF($A27="","",CONCATENATE(VLOOKUP($A27,sez!$A$2:$B$258,2)," (",VLOOKUP($A27,sez!$A$2:$E$259,4),")"))</f>
        <v/>
      </c>
      <c r="C27" s="35" t="str">
        <f>IF(Y28+Z28=0,"",CONCATENATE(Z28,":",Y28))</f>
        <v/>
      </c>
      <c r="D27" s="27" t="s">
        <v>23</v>
      </c>
      <c r="E27" s="27" t="str">
        <f>IF(Y26+Z26=0,"",CONCATENATE(Y26,":",Z26))</f>
        <v/>
      </c>
      <c r="F27" s="28" t="str">
        <f>IF(Y29+Z29=0,"",CONCATENATE(Y29,":",Z29))</f>
        <v/>
      </c>
      <c r="G27" s="33" t="str">
        <f>IF(AE26+AF28+AE29=0,"",AE26+AF28+AE29)</f>
        <v/>
      </c>
      <c r="H27" s="114"/>
      <c r="I27" s="25"/>
      <c r="J27" s="24" t="str">
        <f t="shared" si="30"/>
        <v>---------- - ----------</v>
      </c>
      <c r="K27" s="24" t="str">
        <f t="shared" si="31"/>
        <v/>
      </c>
      <c r="M27" s="121" t="str">
        <f>CONCATENATE("1.st. ",úvod!$C$8," - ",M24)</f>
        <v>1.st. U19 - ženy Skupina D</v>
      </c>
      <c r="N27" s="121">
        <f>A29</f>
        <v>0</v>
      </c>
      <c r="O27" s="121" t="str">
        <f>IF($N27=0,"----------",VLOOKUP($N27,sez!$A$2:$C$258,2))</f>
        <v>----------</v>
      </c>
      <c r="P27" s="121" t="str">
        <f>IF($N27=0,"",VLOOKUP($N27,sez!$A$2:$D$258,4))</f>
        <v/>
      </c>
      <c r="Q27" s="121">
        <f>A28</f>
        <v>0</v>
      </c>
      <c r="R27" s="121" t="str">
        <f>IF($Q27=0,"----------",VLOOKUP($Q27,sez!$A$2:$C$258,2))</f>
        <v>----------</v>
      </c>
      <c r="S27" s="121" t="str">
        <f>IF($Q27=0,"",VLOOKUP($Q27,sez!$A$2:$D$258,4))</f>
        <v/>
      </c>
      <c r="T27" s="56"/>
      <c r="U27" s="57"/>
      <c r="V27" s="57"/>
      <c r="W27" s="57"/>
      <c r="X27" s="58"/>
      <c r="Y27" s="24">
        <f t="shared" si="32"/>
        <v>0</v>
      </c>
      <c r="Z27" s="24">
        <f t="shared" si="33"/>
        <v>0</v>
      </c>
      <c r="AA27" s="24">
        <f t="shared" si="34"/>
        <v>0</v>
      </c>
      <c r="AB27" s="24" t="str">
        <f>IF($AA27=0,"",VLOOKUP($AA27,sez!$A$2:$C$258,2))</f>
        <v/>
      </c>
      <c r="AC27" s="24" t="str">
        <f t="shared" si="35"/>
        <v/>
      </c>
      <c r="AD27" s="122" t="str">
        <f t="shared" si="36"/>
        <v/>
      </c>
      <c r="AE27" s="122">
        <f t="shared" si="37"/>
        <v>0</v>
      </c>
      <c r="AF27" s="122">
        <f t="shared" si="38"/>
        <v>0</v>
      </c>
      <c r="AH27" s="122">
        <f t="shared" si="39"/>
        <v>0</v>
      </c>
      <c r="AI27" s="122">
        <f t="shared" si="39"/>
        <v>0</v>
      </c>
      <c r="AJ27" s="122">
        <f t="shared" si="39"/>
        <v>0</v>
      </c>
      <c r="AK27" s="122">
        <f t="shared" si="39"/>
        <v>0</v>
      </c>
      <c r="AL27" s="122">
        <f t="shared" si="39"/>
        <v>0</v>
      </c>
      <c r="AN27" s="122" t="str">
        <f>CONCATENATE("&lt;/Table&gt;&lt;TD width=420&gt;&lt;Table&gt;")</f>
        <v>&lt;/Table&gt;&lt;TD width=420&gt;&lt;Table&gt;</v>
      </c>
      <c r="AO27" s="122" t="str">
        <f>CONCATENATE("&lt;TR&gt;&lt;TD&gt;",A27,"&lt;TD width=200&gt;",B27,"&lt;TD&gt;",C27,"&lt;TD&gt;",D27,"&lt;TD&gt;",E27,"&lt;TD&gt;",F27,"&lt;TD&gt;",G27,"&lt;TD&gt;",H27,"&lt;/TD&gt;&lt;/TR&gt;")</f>
        <v>&lt;TR&gt;&lt;TD&gt;&lt;TD width=200&gt;&lt;TD&gt;&lt;TD&gt;XXX&lt;TD&gt;&lt;TD&gt;&lt;TD&gt;&lt;TD&gt;&lt;/TD&gt;&lt;/TR&gt;</v>
      </c>
      <c r="AP27" s="122" t="str">
        <f>CONCATENATE("&lt;TR&gt;&lt;TD&gt;",J27,"&lt;TD&gt;",K27,"&lt;/TD&gt;&lt;/TR&gt;")</f>
        <v>&lt;TR&gt;&lt;TD&gt;---------- - ----------&lt;TD&gt;&lt;/TD&gt;&lt;/TR&gt;</v>
      </c>
    </row>
    <row r="28" spans="1:42" ht="16.5" customHeight="1" x14ac:dyDescent="0.2">
      <c r="A28" s="117"/>
      <c r="B28" s="31" t="str">
        <f>IF($A28="","",CONCATENATE(VLOOKUP($A28,sez!$A$2:$B$258,2)," (",VLOOKUP($A28,sez!$A$2:$E$259,4),")"))</f>
        <v/>
      </c>
      <c r="C28" s="35" t="str">
        <f>IF(Y30+Z30=0,"",CONCATENATE(Y30,":",Z30))</f>
        <v/>
      </c>
      <c r="D28" s="27" t="str">
        <f>IF(Y26+Z26=0,"",CONCATENATE(Z26,":",Y26))</f>
        <v/>
      </c>
      <c r="E28" s="27" t="s">
        <v>23</v>
      </c>
      <c r="F28" s="28" t="str">
        <f>IF(Y27+Z27=0,"",CONCATENATE(Z27,":",Y27))</f>
        <v/>
      </c>
      <c r="G28" s="33" t="str">
        <f>IF(AF26+AF27+AE30=0,"",AF26+AF27+AE30)</f>
        <v/>
      </c>
      <c r="H28" s="114"/>
      <c r="I28" s="25"/>
      <c r="J28" s="24" t="str">
        <f t="shared" si="30"/>
        <v>---------- - ----------</v>
      </c>
      <c r="K28" s="24" t="str">
        <f t="shared" si="31"/>
        <v/>
      </c>
      <c r="M28" s="121" t="str">
        <f>CONCATENATE("1.st. ",úvod!$C$8," - ",M24)</f>
        <v>1.st. U19 - ženy Skupina D</v>
      </c>
      <c r="N28" s="121">
        <f>A26</f>
        <v>0</v>
      </c>
      <c r="O28" s="121" t="str">
        <f>IF($N28=0,"----------",VLOOKUP($N28,sez!$A$2:$C$258,2))</f>
        <v>----------</v>
      </c>
      <c r="P28" s="121" t="str">
        <f>IF($N28=0,"",VLOOKUP($N28,sez!$A$2:$D$258,4))</f>
        <v/>
      </c>
      <c r="Q28" s="121">
        <f>A27</f>
        <v>0</v>
      </c>
      <c r="R28" s="121" t="str">
        <f>IF($Q28=0,"----------",VLOOKUP($Q28,sez!$A$2:$C$258,2))</f>
        <v>----------</v>
      </c>
      <c r="S28" s="121" t="str">
        <f>IF($Q28=0,"",VLOOKUP($Q28,sez!$A$2:$D$258,4))</f>
        <v/>
      </c>
      <c r="T28" s="56"/>
      <c r="U28" s="57"/>
      <c r="V28" s="57"/>
      <c r="W28" s="57"/>
      <c r="X28" s="58"/>
      <c r="Y28" s="24">
        <f t="shared" si="32"/>
        <v>0</v>
      </c>
      <c r="Z28" s="24">
        <f t="shared" si="33"/>
        <v>0</v>
      </c>
      <c r="AA28" s="24">
        <f t="shared" si="34"/>
        <v>0</v>
      </c>
      <c r="AB28" s="24" t="str">
        <f>IF($AA28=0,"",VLOOKUP($AA28,sez!$A$2:$C$258,2))</f>
        <v/>
      </c>
      <c r="AC28" s="24" t="str">
        <f t="shared" si="35"/>
        <v/>
      </c>
      <c r="AD28" s="122" t="str">
        <f t="shared" si="36"/>
        <v/>
      </c>
      <c r="AE28" s="122">
        <f t="shared" si="37"/>
        <v>0</v>
      </c>
      <c r="AF28" s="122">
        <f t="shared" si="38"/>
        <v>0</v>
      </c>
      <c r="AH28" s="122">
        <f t="shared" si="39"/>
        <v>0</v>
      </c>
      <c r="AI28" s="122">
        <f t="shared" si="39"/>
        <v>0</v>
      </c>
      <c r="AJ28" s="122">
        <f t="shared" si="39"/>
        <v>0</v>
      </c>
      <c r="AK28" s="122">
        <f t="shared" si="39"/>
        <v>0</v>
      </c>
      <c r="AL28" s="122">
        <f t="shared" si="39"/>
        <v>0</v>
      </c>
      <c r="AN28" s="122" t="str">
        <f>CONCATENATE(AP25,AP26,AP27,AP28,AP29,AP30,)</f>
        <v>&lt;TR&gt;&lt;TD width=250&gt;---------- - ----------&lt;TD&gt;&lt;/TD&gt;&lt;/TR&gt;&lt;TR&gt;&lt;TD&gt;---------- - ----------&lt;TD&gt;&lt;/TD&gt;&lt;/TR&gt;&lt;TR&gt;&lt;TD&gt;---------- - ----------&lt;TD&gt;&lt;/TD&gt;&lt;/TR&gt;&lt;TR&gt;&lt;TD&gt;---------- - ----------&lt;TD&gt;&lt;/TD&gt;&lt;/TR&gt;&lt;TR&gt;&lt;TD&gt;---------- - ----------&lt;TD&gt;&lt;/TD&gt;&lt;/TR&gt;&lt;TR&gt;&lt;TD&gt;---------- - ----------&lt;TD&gt;&lt;/TD&gt;&lt;/TR&gt;</v>
      </c>
      <c r="AO28" s="122" t="str">
        <f>CONCATENATE("&lt;TR&gt;&lt;TD&gt;",A28,"&lt;TD width=200&gt;",B28,"&lt;TD&gt;",C28,"&lt;TD&gt;",D28,"&lt;TD&gt;",E28,"&lt;TD&gt;",F28,"&lt;TD&gt;",G28,"&lt;TD&gt;",H28,"&lt;/TD&gt;&lt;/TR&gt;")</f>
        <v>&lt;TR&gt;&lt;TD&gt;&lt;TD width=200&gt;&lt;TD&gt;&lt;TD&gt;&lt;TD&gt;XXX&lt;TD&gt;&lt;TD&gt;&lt;TD&gt;&lt;/TD&gt;&lt;/TR&gt;</v>
      </c>
      <c r="AP28" s="122" t="str">
        <f>CONCATENATE("&lt;TR&gt;&lt;TD&gt;",J28,"&lt;TD&gt;",K28,"&lt;/TD&gt;&lt;/TR&gt;")</f>
        <v>&lt;TR&gt;&lt;TD&gt;---------- - ----------&lt;TD&gt;&lt;/TD&gt;&lt;/TR&gt;</v>
      </c>
    </row>
    <row r="29" spans="1:42" ht="16.5" customHeight="1" thickBot="1" x14ac:dyDescent="0.25">
      <c r="A29" s="118"/>
      <c r="B29" s="32" t="str">
        <f>IF($A29="","",CONCATENATE(VLOOKUP($A29,sez!$A$2:$B$258,2)," (",VLOOKUP($A29,sez!$A$2:$E$259,4),")"))</f>
        <v/>
      </c>
      <c r="C29" s="36" t="str">
        <f>IF(Y25+Z25=0,"",CONCATENATE(Z25,":",Y25))</f>
        <v/>
      </c>
      <c r="D29" s="29" t="str">
        <f>IF(Y29+Z29=0,"",CONCATENATE(Z29,":",Y29))</f>
        <v/>
      </c>
      <c r="E29" s="29" t="str">
        <f>IF(Y27+Z27=0,"",CONCATENATE(Y27,":",Z27))</f>
        <v/>
      </c>
      <c r="F29" s="30" t="s">
        <v>23</v>
      </c>
      <c r="G29" s="34" t="str">
        <f>IF(AF25+AE27+AF29=0,"",AF25+AE27+AF29)</f>
        <v/>
      </c>
      <c r="H29" s="115"/>
      <c r="I29" s="25"/>
      <c r="J29" s="24" t="str">
        <f t="shared" si="30"/>
        <v>---------- - ----------</v>
      </c>
      <c r="K29" s="24" t="str">
        <f t="shared" si="31"/>
        <v/>
      </c>
      <c r="M29" s="121" t="str">
        <f>CONCATENATE("1.st. ",úvod!$C$8," - ",M24)</f>
        <v>1.st. U19 - ženy Skupina D</v>
      </c>
      <c r="N29" s="121">
        <f>A27</f>
        <v>0</v>
      </c>
      <c r="O29" s="121" t="str">
        <f>IF($N29=0,"----------",VLOOKUP($N29,sez!$A$2:$C$258,2))</f>
        <v>----------</v>
      </c>
      <c r="P29" s="121" t="str">
        <f>IF($N29=0,"",VLOOKUP($N29,sez!$A$2:$D$258,4))</f>
        <v/>
      </c>
      <c r="Q29" s="121">
        <f>A29</f>
        <v>0</v>
      </c>
      <c r="R29" s="121" t="str">
        <f>IF($Q29=0,"----------",VLOOKUP($Q29,sez!$A$2:$C$258,2))</f>
        <v>----------</v>
      </c>
      <c r="S29" s="121" t="str">
        <f>IF($Q29=0,"",VLOOKUP($Q29,sez!$A$2:$D$258,4))</f>
        <v/>
      </c>
      <c r="T29" s="56"/>
      <c r="U29" s="57"/>
      <c r="V29" s="57"/>
      <c r="W29" s="57"/>
      <c r="X29" s="58"/>
      <c r="Y29" s="24">
        <f t="shared" si="32"/>
        <v>0</v>
      </c>
      <c r="Z29" s="24">
        <f t="shared" si="33"/>
        <v>0</v>
      </c>
      <c r="AA29" s="24">
        <f t="shared" si="34"/>
        <v>0</v>
      </c>
      <c r="AB29" s="24" t="str">
        <f>IF($AA29=0,"",VLOOKUP($AA29,sez!$A$2:$C$258,2))</f>
        <v/>
      </c>
      <c r="AC29" s="24" t="str">
        <f t="shared" si="35"/>
        <v/>
      </c>
      <c r="AD29" s="122" t="str">
        <f t="shared" si="36"/>
        <v/>
      </c>
      <c r="AE29" s="122">
        <f t="shared" si="37"/>
        <v>0</v>
      </c>
      <c r="AF29" s="122">
        <f t="shared" si="38"/>
        <v>0</v>
      </c>
      <c r="AH29" s="122">
        <f t="shared" si="39"/>
        <v>0</v>
      </c>
      <c r="AI29" s="122">
        <f t="shared" si="39"/>
        <v>0</v>
      </c>
      <c r="AJ29" s="122">
        <f t="shared" si="39"/>
        <v>0</v>
      </c>
      <c r="AK29" s="122">
        <f t="shared" si="39"/>
        <v>0</v>
      </c>
      <c r="AL29" s="122">
        <f t="shared" si="39"/>
        <v>0</v>
      </c>
      <c r="AN29" s="122" t="str">
        <f>CONCATENATE("&lt;/Table&gt;&lt;/TD&gt;&lt;/TR&gt;&lt;/Table&gt;&lt;P&gt;")</f>
        <v>&lt;/Table&gt;&lt;/TD&gt;&lt;/TR&gt;&lt;/Table&gt;&lt;P&gt;</v>
      </c>
      <c r="AO29" s="122" t="str">
        <f>CONCATENATE("&lt;TR&gt;&lt;TD&gt;",A29,"&lt;TD width=200&gt;",B29,"&lt;TD&gt;",C29,"&lt;TD&gt;",D29,"&lt;TD&gt;",E29,"&lt;TD&gt;",F29,"&lt;TD&gt;",G29,"&lt;TD&gt;",H29,"&lt;/TD&gt;&lt;/TR&gt;")</f>
        <v>&lt;TR&gt;&lt;TD&gt;&lt;TD width=200&gt;&lt;TD&gt;&lt;TD&gt;&lt;TD&gt;&lt;TD&gt;XXX&lt;TD&gt;&lt;TD&gt;&lt;/TD&gt;&lt;/TR&gt;</v>
      </c>
      <c r="AP29" s="122" t="str">
        <f>CONCATENATE("&lt;TR&gt;&lt;TD&gt;",J29,"&lt;TD&gt;",K29,"&lt;/TD&gt;&lt;/TR&gt;")</f>
        <v>&lt;TR&gt;&lt;TD&gt;---------- - ----------&lt;TD&gt;&lt;/TD&gt;&lt;/TR&gt;</v>
      </c>
    </row>
    <row r="30" spans="1:42" ht="16.5" customHeight="1" thickTop="1" thickBot="1" x14ac:dyDescent="0.25">
      <c r="J30" s="24" t="str">
        <f t="shared" si="30"/>
        <v>---------- - ----------</v>
      </c>
      <c r="K30" s="24" t="str">
        <f t="shared" si="31"/>
        <v/>
      </c>
      <c r="M30" s="121" t="str">
        <f>CONCATENATE("1.st. ",úvod!$C$8," - ",M24)</f>
        <v>1.st. U19 - ženy Skupina D</v>
      </c>
      <c r="N30" s="121">
        <f>A28</f>
        <v>0</v>
      </c>
      <c r="O30" s="121" t="str">
        <f>IF($N30=0,"----------",VLOOKUP($N30,sez!$A$2:$C$258,2))</f>
        <v>----------</v>
      </c>
      <c r="P30" s="121" t="str">
        <f>IF($N30=0,"",VLOOKUP($N30,sez!$A$2:$D$258,4))</f>
        <v/>
      </c>
      <c r="Q30" s="121">
        <f>A26</f>
        <v>0</v>
      </c>
      <c r="R30" s="121" t="str">
        <f>IF($Q30=0,"----------",VLOOKUP($Q30,sez!$A$2:$C$258,2))</f>
        <v>----------</v>
      </c>
      <c r="S30" s="121" t="str">
        <f>IF($Q30=0,"",VLOOKUP($Q30,sez!$A$2:$D$258,4))</f>
        <v/>
      </c>
      <c r="T30" s="59"/>
      <c r="U30" s="60"/>
      <c r="V30" s="60"/>
      <c r="W30" s="60"/>
      <c r="X30" s="61"/>
      <c r="Y30" s="24">
        <f t="shared" si="32"/>
        <v>0</v>
      </c>
      <c r="Z30" s="24">
        <f t="shared" si="33"/>
        <v>0</v>
      </c>
      <c r="AA30" s="24">
        <f t="shared" si="34"/>
        <v>0</v>
      </c>
      <c r="AB30" s="24" t="str">
        <f>IF($AA30=0,"",VLOOKUP($AA30,sez!$A$2:$C$258,2))</f>
        <v/>
      </c>
      <c r="AC30" s="24" t="str">
        <f t="shared" si="35"/>
        <v/>
      </c>
      <c r="AD30" s="122" t="str">
        <f t="shared" si="36"/>
        <v/>
      </c>
      <c r="AE30" s="122">
        <f t="shared" si="37"/>
        <v>0</v>
      </c>
      <c r="AF30" s="122">
        <f t="shared" si="38"/>
        <v>0</v>
      </c>
      <c r="AH30" s="122">
        <f t="shared" si="39"/>
        <v>0</v>
      </c>
      <c r="AI30" s="122">
        <f t="shared" si="39"/>
        <v>0</v>
      </c>
      <c r="AJ30" s="122">
        <f t="shared" si="39"/>
        <v>0</v>
      </c>
      <c r="AK30" s="122">
        <f t="shared" si="39"/>
        <v>0</v>
      </c>
      <c r="AL30" s="122">
        <f t="shared" si="39"/>
        <v>0</v>
      </c>
      <c r="AP30" s="122" t="str">
        <f>CONCATENATE("&lt;TR&gt;&lt;TD&gt;",J30,"&lt;TD&gt;",K30,"&lt;/TD&gt;&lt;/TR&gt;")</f>
        <v>&lt;TR&gt;&lt;TD&gt;---------- - ----------&lt;TD&gt;&lt;/TD&gt;&lt;/TR&gt;</v>
      </c>
    </row>
    <row r="31" spans="1:42" ht="16.5" customHeight="1" thickTop="1" x14ac:dyDescent="0.2">
      <c r="M31" s="25"/>
      <c r="N31" s="25"/>
      <c r="O31" s="25"/>
      <c r="P31" s="25"/>
      <c r="Q31" s="25"/>
      <c r="R31" s="25"/>
      <c r="S31" s="25"/>
      <c r="T31" s="119"/>
      <c r="U31" s="119"/>
      <c r="V31" s="119"/>
      <c r="W31" s="119"/>
      <c r="X31" s="119"/>
      <c r="Y31" s="25"/>
      <c r="Z31" s="25"/>
      <c r="AA31" s="25"/>
      <c r="AN31" s="122" t="s">
        <v>18</v>
      </c>
    </row>
    <row r="32" spans="1:42" ht="15" customHeight="1" x14ac:dyDescent="0.2">
      <c r="T32" s="120"/>
      <c r="U32" s="120"/>
      <c r="V32" s="120"/>
      <c r="W32" s="120"/>
      <c r="X32" s="120"/>
    </row>
  </sheetData>
  <phoneticPr fontId="0" type="noConversion"/>
  <pageMargins left="0.59055118110236227" right="0.59055118110236227" top="0.59055118110236227" bottom="0.39370078740157483" header="0.51181102362204722" footer="3.6614173228346458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34"/>
  <sheetViews>
    <sheetView tabSelected="1" view="pageBreakPreview" topLeftCell="A4" zoomScale="85" zoomScaleNormal="75" zoomScaleSheetLayoutView="85" workbookViewId="0">
      <selection activeCell="K25" sqref="K25"/>
    </sheetView>
  </sheetViews>
  <sheetFormatPr defaultRowHeight="12.75" x14ac:dyDescent="0.2"/>
  <cols>
    <col min="1" max="1" width="3.42578125" style="2" customWidth="1"/>
    <col min="2" max="2" width="5" style="2" customWidth="1"/>
    <col min="3" max="3" width="34.28515625" style="2" bestFit="1" customWidth="1"/>
    <col min="4" max="4" width="0.85546875" style="2" customWidth="1"/>
    <col min="5" max="8" width="31.42578125" style="2" customWidth="1"/>
    <col min="9" max="16384" width="9.140625" style="2"/>
  </cols>
  <sheetData>
    <row r="1" spans="1:8" ht="27" customHeight="1" x14ac:dyDescent="0.3">
      <c r="B1" s="3" t="str">
        <f>úvod!C6</f>
        <v>Krajské přebory</v>
      </c>
      <c r="H1" s="85"/>
    </row>
    <row r="2" spans="1:8" ht="21" customHeight="1" x14ac:dyDescent="0.3">
      <c r="B2" s="78"/>
      <c r="H2" s="20" t="str">
        <f>CONCATENATE("Dvouhra ",úvod!C8,"M - 2.stupeň")</f>
        <v>Dvouhra U19M - 2.stupeň</v>
      </c>
    </row>
    <row r="3" spans="1:8" ht="13.5" x14ac:dyDescent="0.25">
      <c r="D3" s="4"/>
      <c r="H3" s="80"/>
    </row>
    <row r="4" spans="1:8" ht="15" customHeight="1" x14ac:dyDescent="0.2">
      <c r="A4" s="2">
        <v>1</v>
      </c>
      <c r="B4" s="103">
        <v>2</v>
      </c>
      <c r="C4" s="5" t="str">
        <f>IF($B4="","bye",CONCATENATE(VLOOKUP($B4,sez!$A$2:$E$259,2)," (",VLOOKUP($B4,sez!$A$2:$E$259,4),")"))</f>
        <v>Nespěšný Hynek (MS Brno)</v>
      </c>
    </row>
    <row r="5" spans="1:8" ht="15" customHeight="1" x14ac:dyDescent="0.2">
      <c r="D5" s="13"/>
      <c r="E5" s="5" t="str">
        <f>'výs 2.st M'!P2</f>
        <v>Nespěšný Hynek</v>
      </c>
    </row>
    <row r="6" spans="1:8" ht="15" customHeight="1" x14ac:dyDescent="0.2">
      <c r="A6" s="2">
        <v>2</v>
      </c>
      <c r="B6" s="103"/>
      <c r="C6" s="5" t="str">
        <f>IF($B6="","bye",CONCATENATE(VLOOKUP($B6,sez!$A$2:$E$259,2)," (",VLOOKUP($B6,sez!$A$2:$E$259,4),")"))</f>
        <v>bye</v>
      </c>
      <c r="D6" s="14"/>
      <c r="E6" s="6" t="str">
        <f>'výs 2.st M'!R2</f>
        <v>3:0 (0,0,0)</v>
      </c>
    </row>
    <row r="7" spans="1:8" ht="15" customHeight="1" x14ac:dyDescent="0.2">
      <c r="D7" s="15"/>
      <c r="E7" s="8"/>
      <c r="F7" s="21" t="str">
        <f>'výs 2.st M'!P11</f>
        <v>Drápal Metoděj</v>
      </c>
    </row>
    <row r="8" spans="1:8" ht="15" customHeight="1" x14ac:dyDescent="0.2">
      <c r="A8" s="2">
        <v>3</v>
      </c>
      <c r="B8" s="103">
        <v>5</v>
      </c>
      <c r="C8" s="5" t="str">
        <f>IF($B8="","bye",CONCATENATE(VLOOKUP($B8,sez!$A$2:$E$259,2)," (",VLOOKUP($B8,sez!$A$2:$E$259,4),")"))</f>
        <v>Drápal Metoděj (MS Brno)</v>
      </c>
      <c r="D8" s="12"/>
      <c r="E8" s="8"/>
      <c r="F8" s="6" t="str">
        <f>'výs 2.st M'!R11</f>
        <v>3:2 (11,10,-9,-12,4)</v>
      </c>
    </row>
    <row r="9" spans="1:8" ht="15" customHeight="1" x14ac:dyDescent="0.2">
      <c r="D9" s="13"/>
      <c r="E9" s="7" t="str">
        <f>'výs 2.st M'!P3</f>
        <v>Drápal Metoděj</v>
      </c>
      <c r="F9" s="8"/>
    </row>
    <row r="10" spans="1:8" ht="15" customHeight="1" x14ac:dyDescent="0.2">
      <c r="A10" s="2">
        <v>4</v>
      </c>
      <c r="B10" s="103">
        <v>11</v>
      </c>
      <c r="C10" s="5" t="str">
        <f>IF($B10="","bye",CONCATENATE(VLOOKUP($B10,sez!$A$2:$E$259,2)," (",VLOOKUP($B10,sez!$A$2:$E$259,4),")"))</f>
        <v>Krejčí David (MS Brno)</v>
      </c>
      <c r="D10" s="14"/>
      <c r="E10" s="2" t="str">
        <f>'výs 2.st M'!R3</f>
        <v>3:0 (6,8,9)</v>
      </c>
      <c r="F10" s="8"/>
    </row>
    <row r="11" spans="1:8" ht="15" customHeight="1" x14ac:dyDescent="0.2">
      <c r="D11" s="15"/>
      <c r="F11" s="8"/>
      <c r="G11" s="21" t="str">
        <f>'výs 2.st M'!P16</f>
        <v>Drápal Metoděj</v>
      </c>
    </row>
    <row r="12" spans="1:8" ht="15" customHeight="1" x14ac:dyDescent="0.2">
      <c r="A12" s="2">
        <v>5</v>
      </c>
      <c r="B12" s="103">
        <v>7</v>
      </c>
      <c r="C12" s="5" t="str">
        <f>IF($B12="","bye",CONCATENATE(VLOOKUP($B12,sez!$A$2:$E$259,2)," (",VLOOKUP($B12,sez!$A$2:$E$259,4),")"))</f>
        <v>Němeček Radek (MSK Břeclav)</v>
      </c>
      <c r="D12" s="12"/>
      <c r="F12" s="8"/>
      <c r="G12" s="6" t="str">
        <f>'výs 2.st M'!R16</f>
        <v>3:1 (6,-10,12,6)</v>
      </c>
    </row>
    <row r="13" spans="1:8" ht="15" customHeight="1" x14ac:dyDescent="0.2">
      <c r="D13" s="13"/>
      <c r="E13" s="5" t="str">
        <f>'výs 2.st M'!P4</f>
        <v>Němeček Radek</v>
      </c>
      <c r="F13" s="8"/>
      <c r="G13" s="8"/>
    </row>
    <row r="14" spans="1:8" ht="15" customHeight="1" x14ac:dyDescent="0.2">
      <c r="A14" s="2">
        <v>6</v>
      </c>
      <c r="B14" s="103">
        <v>12</v>
      </c>
      <c r="C14" s="5" t="str">
        <f>IF($B14="","bye",CONCATENATE(VLOOKUP($B14,sez!$A$2:$E$259,2)," (",VLOOKUP($B14,sez!$A$2:$E$259,4),")"))</f>
        <v>Horníček Lukáš (MS Brno)</v>
      </c>
      <c r="D14" s="14"/>
      <c r="E14" s="6" t="str">
        <f>'výs 2.st M'!R4</f>
        <v>3:0 (7,2,4)</v>
      </c>
      <c r="F14" s="8"/>
      <c r="G14" s="8"/>
    </row>
    <row r="15" spans="1:8" ht="15" customHeight="1" x14ac:dyDescent="0.2">
      <c r="D15" s="15"/>
      <c r="E15" s="8"/>
      <c r="F15" s="22" t="str">
        <f>'výs 2.st M'!P12</f>
        <v>Němeček Radek</v>
      </c>
      <c r="G15" s="8"/>
    </row>
    <row r="16" spans="1:8" ht="15" customHeight="1" x14ac:dyDescent="0.2">
      <c r="A16" s="2">
        <v>7</v>
      </c>
      <c r="B16" s="103">
        <v>8</v>
      </c>
      <c r="C16" s="5" t="str">
        <f>IF($B16="","bye",CONCATENATE(VLOOKUP($B16,sez!$A$2:$E$259,2)," (",VLOOKUP($B16,sez!$A$2:$E$259,4),")"))</f>
        <v>Pokorný Martin (KST Blansko)</v>
      </c>
      <c r="D16" s="12"/>
      <c r="E16" s="8"/>
      <c r="F16" s="2" t="str">
        <f>'výs 2.st M'!R12</f>
        <v>3:0 (9,4,9)</v>
      </c>
      <c r="G16" s="8"/>
    </row>
    <row r="17" spans="1:8" ht="15" customHeight="1" x14ac:dyDescent="0.2">
      <c r="D17" s="13"/>
      <c r="E17" s="7" t="str">
        <f>'výs 2.st M'!P5</f>
        <v>Luska Petr</v>
      </c>
      <c r="G17" s="8"/>
    </row>
    <row r="18" spans="1:8" ht="15" customHeight="1" x14ac:dyDescent="0.2">
      <c r="A18" s="2">
        <v>8</v>
      </c>
      <c r="B18" s="103">
        <v>4</v>
      </c>
      <c r="C18" s="5" t="str">
        <f>IF($B18="","bye",CONCATENATE(VLOOKUP($B18,sez!$A$2:$E$259,2)," (",VLOOKUP($B18,sez!$A$2:$E$259,4),")"))</f>
        <v>Luska Petr (KST Vyškov)</v>
      </c>
      <c r="D18" s="14"/>
      <c r="E18" s="2" t="str">
        <f>'výs 2.st M'!R5</f>
        <v>3:1 (8,-8,8,4)</v>
      </c>
      <c r="G18" s="8"/>
    </row>
    <row r="19" spans="1:8" ht="15" customHeight="1" x14ac:dyDescent="0.2">
      <c r="D19" s="15"/>
      <c r="G19" s="8"/>
      <c r="H19" s="11" t="str">
        <f>'výs 2.st M'!P19</f>
        <v>Pařízek Richard</v>
      </c>
    </row>
    <row r="20" spans="1:8" ht="15" customHeight="1" x14ac:dyDescent="0.2">
      <c r="A20" s="2">
        <v>9</v>
      </c>
      <c r="B20" s="103">
        <v>10</v>
      </c>
      <c r="C20" s="5" t="str">
        <f>IF($B20="","bye",CONCATENATE(VLOOKUP($B20,sez!$A$2:$E$259,2)," (",VLOOKUP($B20,sez!$A$2:$E$259,4),")"))</f>
        <v>Vincenec Oliver (KST Vyškov)</v>
      </c>
      <c r="D20" s="12"/>
      <c r="G20" s="8"/>
      <c r="H20" s="74" t="str">
        <f>'výs 2.st M'!R19</f>
        <v>3:0 (9,6,1)</v>
      </c>
    </row>
    <row r="21" spans="1:8" ht="15" customHeight="1" x14ac:dyDescent="0.2">
      <c r="D21" s="13"/>
      <c r="E21" s="5" t="str">
        <f>'výs 2.st M'!P6</f>
        <v>Vincenec Oliver</v>
      </c>
      <c r="G21" s="8"/>
    </row>
    <row r="22" spans="1:8" ht="15" customHeight="1" x14ac:dyDescent="0.2">
      <c r="A22" s="2">
        <v>10</v>
      </c>
      <c r="B22" s="103">
        <v>16</v>
      </c>
      <c r="C22" s="5" t="str">
        <f>IF($B22="","bye",CONCATENATE(VLOOKUP($B22,sez!$A$2:$E$259,2)," (",VLOOKUP($B22,sez!$A$2:$E$259,4),")"))</f>
        <v>Šimeček Robin (TJ Holásky)</v>
      </c>
      <c r="D22" s="14"/>
      <c r="E22" s="6" t="str">
        <f>'výs 2.st M'!R6</f>
        <v>3:0 (7,5,5)</v>
      </c>
      <c r="G22" s="8"/>
    </row>
    <row r="23" spans="1:8" ht="15" customHeight="1" x14ac:dyDescent="0.2">
      <c r="D23" s="15"/>
      <c r="E23" s="8"/>
      <c r="F23" s="21" t="str">
        <f>'výs 2.st M'!P13</f>
        <v>Pařízek Richard</v>
      </c>
      <c r="G23" s="8"/>
    </row>
    <row r="24" spans="1:8" ht="15" customHeight="1" x14ac:dyDescent="0.2">
      <c r="A24" s="2">
        <v>11</v>
      </c>
      <c r="B24" s="103">
        <v>21</v>
      </c>
      <c r="C24" s="5" t="str">
        <f>IF($B24="","bye",CONCATENATE(VLOOKUP($B24,sez!$A$2:$E$259,2)," (",VLOOKUP($B24,sez!$A$2:$E$259,4),")"))</f>
        <v>Lokaj David (Letonice)</v>
      </c>
      <c r="D24" s="12"/>
      <c r="E24" s="8"/>
      <c r="F24" s="6" t="str">
        <f>'výs 2.st M'!R13</f>
        <v>3:1 (8,-7,6,7)</v>
      </c>
      <c r="G24" s="8"/>
    </row>
    <row r="25" spans="1:8" ht="15" customHeight="1" x14ac:dyDescent="0.2">
      <c r="D25" s="13"/>
      <c r="E25" s="7" t="str">
        <f>'výs 2.st M'!P7</f>
        <v>Pařízek Richard</v>
      </c>
      <c r="F25" s="8"/>
      <c r="G25" s="8"/>
    </row>
    <row r="26" spans="1:8" ht="15" customHeight="1" x14ac:dyDescent="0.2">
      <c r="A26" s="2">
        <v>12</v>
      </c>
      <c r="B26" s="103">
        <v>6</v>
      </c>
      <c r="C26" s="5" t="str">
        <f>IF($B26="","bye",CONCATENATE(VLOOKUP($B26,sez!$A$2:$E$259,2)," (",VLOOKUP($B26,sez!$A$2:$E$259,4),")"))</f>
        <v>Pařízek Richard (SKST Hodonín)</v>
      </c>
      <c r="D26" s="14"/>
      <c r="E26" s="2" t="str">
        <f>'výs 2.st M'!R7</f>
        <v>3:0 (5,6,5)</v>
      </c>
      <c r="F26" s="8"/>
      <c r="G26" s="8"/>
    </row>
    <row r="27" spans="1:8" ht="15" customHeight="1" x14ac:dyDescent="0.2">
      <c r="D27" s="15"/>
      <c r="F27" s="8"/>
      <c r="G27" s="22" t="str">
        <f>'výs 2.st M'!P17</f>
        <v>Pařízek Richard</v>
      </c>
    </row>
    <row r="28" spans="1:8" ht="15" customHeight="1" x14ac:dyDescent="0.2">
      <c r="A28" s="2">
        <v>13</v>
      </c>
      <c r="B28" s="103">
        <v>19</v>
      </c>
      <c r="C28" s="5" t="str">
        <f>IF($B28="","bye",CONCATENATE(VLOOKUP($B28,sez!$A$2:$E$259,2)," (",VLOOKUP($B28,sez!$A$2:$E$259,4),")"))</f>
        <v>Chromník Martin (STP Mikulov)</v>
      </c>
      <c r="D28" s="12"/>
      <c r="F28" s="8"/>
      <c r="G28" s="2" t="str">
        <f>'výs 2.st M'!R17</f>
        <v>3:0 (7,8,6)</v>
      </c>
    </row>
    <row r="29" spans="1:8" ht="15" customHeight="1" x14ac:dyDescent="0.2">
      <c r="D29" s="13"/>
      <c r="E29" s="5" t="str">
        <f>'výs 2.st M'!P8</f>
        <v>Chromník Martin</v>
      </c>
      <c r="F29" s="8"/>
    </row>
    <row r="30" spans="1:8" ht="15" customHeight="1" x14ac:dyDescent="0.2">
      <c r="A30" s="2">
        <v>14</v>
      </c>
      <c r="B30" s="103">
        <v>9</v>
      </c>
      <c r="C30" s="5" t="str">
        <f>IF($B30="","bye",CONCATENATE(VLOOKUP($B30,sez!$A$2:$E$259,2)," (",VLOOKUP($B30,sez!$A$2:$E$259,4),")"))</f>
        <v>Štěpánek Ondřej (KST Blansko)</v>
      </c>
      <c r="D30" s="14"/>
      <c r="E30" s="6" t="str">
        <f>'výs 2.st M'!R8</f>
        <v>3:1 (5,9,-5,4)</v>
      </c>
      <c r="F30" s="8"/>
    </row>
    <row r="31" spans="1:8" ht="15" customHeight="1" x14ac:dyDescent="0.2">
      <c r="D31" s="15"/>
      <c r="E31" s="8"/>
      <c r="F31" s="22" t="str">
        <f>'výs 2.st M'!P14</f>
        <v>Chromník Martin</v>
      </c>
    </row>
    <row r="32" spans="1:8" ht="15" customHeight="1" x14ac:dyDescent="0.2">
      <c r="A32" s="2">
        <v>15</v>
      </c>
      <c r="B32" s="103"/>
      <c r="C32" s="5" t="str">
        <f>IF($B32="","bye",CONCATENATE(VLOOKUP($B32,sez!$A$2:$E$259,2)," (",VLOOKUP($B32,sez!$A$2:$E$259,4),")"))</f>
        <v>bye</v>
      </c>
      <c r="D32" s="12"/>
      <c r="E32" s="8"/>
      <c r="F32" s="2" t="str">
        <f>'výs 2.st M'!R14</f>
        <v>3:0 (9,7,4)</v>
      </c>
    </row>
    <row r="33" spans="1:5" ht="15" customHeight="1" x14ac:dyDescent="0.2">
      <c r="D33" s="13"/>
      <c r="E33" s="7" t="str">
        <f>'výs 2.st M'!P9</f>
        <v>Krištof Lukáš</v>
      </c>
    </row>
    <row r="34" spans="1:5" ht="15" customHeight="1" x14ac:dyDescent="0.2">
      <c r="A34" s="2">
        <v>16</v>
      </c>
      <c r="B34" s="103">
        <v>3</v>
      </c>
      <c r="C34" s="5" t="str">
        <f>IF($B34="","bye",CONCATENATE(VLOOKUP($B34,sez!$A$2:$E$259,2)," (",VLOOKUP($B34,sez!$A$2:$E$259,4),")"))</f>
        <v>Krištof Lukáš (Tišnov)</v>
      </c>
      <c r="D34" s="14"/>
      <c r="E34" s="2" t="str">
        <f>'výs 2.st M'!R9</f>
        <v>3:0 (0,0,0)</v>
      </c>
    </row>
  </sheetData>
  <phoneticPr fontId="0" type="noConversion"/>
  <printOptions horizontalCentered="1"/>
  <pageMargins left="0.39370078740157483" right="0.39370078740157483" top="0.39370078740157483" bottom="0.78740157480314965" header="0.51181102362204722" footer="0.51181102362204722"/>
  <pageSetup paperSize="9" scale="8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2"/>
  <sheetViews>
    <sheetView zoomScaleNormal="100" workbookViewId="0">
      <pane ySplit="1" topLeftCell="A2" activePane="bottomLeft" state="frozen"/>
      <selection activeCell="B4" sqref="B4"/>
      <selection pane="bottomLeft" activeCell="B4" sqref="B4"/>
    </sheetView>
  </sheetViews>
  <sheetFormatPr defaultRowHeight="12.75" x14ac:dyDescent="0.2"/>
  <cols>
    <col min="1" max="1" width="20.42578125" style="2" customWidth="1"/>
    <col min="2" max="2" width="4.5703125" style="2" bestFit="1" customWidth="1"/>
    <col min="3" max="3" width="15.140625" style="2" bestFit="1" customWidth="1"/>
    <col min="4" max="4" width="19.5703125" style="2" bestFit="1" customWidth="1"/>
    <col min="5" max="5" width="4.5703125" style="2" bestFit="1" customWidth="1"/>
    <col min="6" max="6" width="16" style="2" bestFit="1" customWidth="1"/>
    <col min="7" max="7" width="19.5703125" style="2" bestFit="1" customWidth="1"/>
    <col min="8" max="12" width="5.28515625" style="2" customWidth="1"/>
    <col min="13" max="14" width="4.28515625" style="2" customWidth="1"/>
    <col min="15" max="15" width="4.5703125" style="2" bestFit="1" customWidth="1"/>
    <col min="16" max="16" width="5.5703125" style="2" customWidth="1"/>
    <col min="17" max="17" width="15" style="2" bestFit="1" customWidth="1"/>
    <col min="18" max="18" width="18.85546875" style="2" bestFit="1" customWidth="1"/>
    <col min="19" max="19" width="3.5703125" style="2" customWidth="1"/>
    <col min="20" max="24" width="3" style="2" customWidth="1"/>
    <col min="25" max="16384" width="9.140625" style="2"/>
  </cols>
  <sheetData>
    <row r="1" spans="1:24" ht="14.25" thickTop="1" thickBot="1" x14ac:dyDescent="0.25">
      <c r="B1" s="1" t="s">
        <v>0</v>
      </c>
      <c r="C1" s="1" t="s">
        <v>1</v>
      </c>
      <c r="D1" s="1" t="s">
        <v>2</v>
      </c>
      <c r="E1" s="1" t="s">
        <v>0</v>
      </c>
      <c r="F1" s="1" t="s">
        <v>3</v>
      </c>
      <c r="G1" s="1" t="s">
        <v>2</v>
      </c>
      <c r="H1" s="16" t="s">
        <v>4</v>
      </c>
      <c r="I1" s="17" t="s">
        <v>5</v>
      </c>
      <c r="J1" s="17" t="s">
        <v>6</v>
      </c>
      <c r="K1" s="17" t="s">
        <v>7</v>
      </c>
      <c r="L1" s="18" t="s">
        <v>8</v>
      </c>
      <c r="M1" s="1" t="s">
        <v>9</v>
      </c>
      <c r="N1" s="1" t="s">
        <v>10</v>
      </c>
      <c r="O1" s="1" t="s">
        <v>11</v>
      </c>
    </row>
    <row r="2" spans="1:24" ht="13.5" thickTop="1" x14ac:dyDescent="0.2">
      <c r="A2" s="131" t="str">
        <f>CONCATENATE("Dvouhra ",úvod!$C$8," - 1.kolo")</f>
        <v>Dvouhra U19 - 1.kolo</v>
      </c>
      <c r="B2" s="131">
        <f>'2.st. M'!$B$4</f>
        <v>2</v>
      </c>
      <c r="C2" s="131" t="str">
        <f>IF($B2=0,"bye",VLOOKUP($B2,sez!$A$2:$D$259,2))</f>
        <v>Nespěšný Hynek</v>
      </c>
      <c r="D2" s="131" t="str">
        <f>IF($B2=0,"",VLOOKUP($B2,sez!$A$2:$E$259,4))</f>
        <v>MS Brno</v>
      </c>
      <c r="E2" s="131">
        <f>'2.st. M'!$B$6</f>
        <v>0</v>
      </c>
      <c r="F2" s="131" t="str">
        <f>IF($E2=0,"bye",VLOOKUP($E2,sez!$A$2:$D$259,2))</f>
        <v>bye</v>
      </c>
      <c r="G2" s="131" t="str">
        <f>IF($E2=0,"",VLOOKUP($E2,sez!$A$2:$E$259,4))</f>
        <v/>
      </c>
      <c r="H2" s="62" t="s">
        <v>89</v>
      </c>
      <c r="I2" s="63" t="s">
        <v>89</v>
      </c>
      <c r="J2" s="63" t="s">
        <v>89</v>
      </c>
      <c r="K2" s="63"/>
      <c r="L2" s="64"/>
      <c r="M2" s="2">
        <f>COUNTIF(T2:X2,"&gt;0")</f>
        <v>3</v>
      </c>
      <c r="N2" s="2">
        <f>COUNTIF(T2:X2,"&lt;0")</f>
        <v>0</v>
      </c>
      <c r="O2" s="2">
        <f t="shared" ref="O2:O9" si="0">IF(M2=N2,0,IF(M2&gt;N2,B2,E2))</f>
        <v>2</v>
      </c>
      <c r="P2" s="2" t="str">
        <f>IF($O2=0,"",VLOOKUP($O2,sez!$A$2:$D$259,2))</f>
        <v>Nespěšný Hynek</v>
      </c>
      <c r="Q2" s="2" t="str">
        <f>IF(M2=N2,"",IF(M2&gt;N2,CONCATENATE(M2,":",N2," (",H2,",",I2,",",J2,IF(SUM(M2:N2)&gt;3,",",""),K2,IF(SUM(M2:N2)&gt;4,",",""),L2,")"),CONCATENATE(N2,":",M2," (",IF(H2="0","-0",-H2),",",IF(I2="0","-0",-I2),",",IF(J2="0","-0",-J2),IF(SUM(M2:N2)&gt;3,CONCATENATE(",",IF(K2="0","-0",-K2)),""),IF(SUM(M2:N2)&gt;4,CONCATENATE(",",IF(L2="0","-0",-L2)),""),")")))</f>
        <v>3:0 (0,0,0)</v>
      </c>
      <c r="R2" s="2" t="str">
        <f t="shared" ref="R2:R19" si="1">IF(MAX(M2:N2)=3,Q2,"")</f>
        <v>3:0 (0,0,0)</v>
      </c>
      <c r="S2" s="24"/>
      <c r="T2" s="24">
        <f>IF(H2="",0,IF(MID(H2,1,1)="-",-1,1))</f>
        <v>1</v>
      </c>
      <c r="U2" s="24">
        <f>IF(I2="",0,IF(MID(I2,1,1)="-",-1,1))</f>
        <v>1</v>
      </c>
      <c r="V2" s="24">
        <f>IF(J2="",0,IF(MID(J2,1,1)="-",-1,1))</f>
        <v>1</v>
      </c>
      <c r="W2" s="24">
        <f>IF(K2="",0,IF(MID(K2,1,1)="-",-1,1))</f>
        <v>0</v>
      </c>
      <c r="X2" s="24">
        <f>IF(L2="",0,IF(MID(L2,1,1)="-",-1,1))</f>
        <v>0</v>
      </c>
    </row>
    <row r="3" spans="1:24" x14ac:dyDescent="0.2">
      <c r="A3" s="131" t="str">
        <f>CONCATENATE("Dvouhra ",úvod!$C$8," - 1.kolo")</f>
        <v>Dvouhra U19 - 1.kolo</v>
      </c>
      <c r="B3" s="131">
        <f>'2.st. M'!$B$8</f>
        <v>5</v>
      </c>
      <c r="C3" s="131" t="str">
        <f>IF($B3=0,"bye",VLOOKUP($B3,sez!$A$2:$D$259,2))</f>
        <v>Drápal Metoděj</v>
      </c>
      <c r="D3" s="131" t="str">
        <f>IF($B3=0,"",VLOOKUP($B3,sez!$A$2:$E$259,4))</f>
        <v>MS Brno</v>
      </c>
      <c r="E3" s="131">
        <f>'2.st. M'!$B$10</f>
        <v>11</v>
      </c>
      <c r="F3" s="131" t="str">
        <f>IF($E3=0,"bye",VLOOKUP($E3,sez!$A$2:$D$259,2))</f>
        <v>Krejčí David</v>
      </c>
      <c r="G3" s="131" t="str">
        <f>IF($E3=0,"",VLOOKUP($E3,sez!$A$2:$E$259,4))</f>
        <v>MS Brno</v>
      </c>
      <c r="H3" s="65" t="s">
        <v>83</v>
      </c>
      <c r="I3" s="66" t="s">
        <v>82</v>
      </c>
      <c r="J3" s="66" t="s">
        <v>71</v>
      </c>
      <c r="K3" s="66"/>
      <c r="L3" s="67"/>
      <c r="M3" s="2">
        <f t="shared" ref="M3:M9" si="2">COUNTIF(T3:X3,"&gt;0")</f>
        <v>3</v>
      </c>
      <c r="N3" s="2">
        <f t="shared" ref="N3:N9" si="3">COUNTIF(T3:X3,"&lt;0")</f>
        <v>0</v>
      </c>
      <c r="O3" s="2">
        <f t="shared" si="0"/>
        <v>5</v>
      </c>
      <c r="P3" s="2" t="str">
        <f>IF($O3=0,"",VLOOKUP($O3,sez!$A$2:$D$259,2))</f>
        <v>Drápal Metoděj</v>
      </c>
      <c r="Q3" s="2" t="str">
        <f t="shared" ref="Q3:Q9" si="4">IF(M3=N3,"",IF(M3&gt;N3,CONCATENATE(M3,":",N3," (",H3,",",I3,",",J3,IF(SUM(M3:N3)&gt;3,",",""),K3,IF(SUM(M3:N3)&gt;4,",",""),L3,")"),CONCATENATE(N3,":",M3," (",IF(H3="0","-0",-H3),",",IF(I3="0","-0",-I3),",",IF(J3="0","-0",-J3),IF(SUM(M3:N3)&gt;3,CONCATENATE(",",IF(K3="0","-0",-K3)),""),IF(SUM(M3:N3)&gt;4,CONCATENATE(",",IF(L3="0","-0",-L3)),""),")")))</f>
        <v>3:0 (6,8,9)</v>
      </c>
      <c r="R3" s="2" t="str">
        <f t="shared" si="1"/>
        <v>3:0 (6,8,9)</v>
      </c>
      <c r="T3" s="24">
        <f t="shared" ref="T3:W9" si="5">IF(H3="",0,IF(MID(H3,1,1)="-",-1,1))</f>
        <v>1</v>
      </c>
      <c r="U3" s="24">
        <f t="shared" si="5"/>
        <v>1</v>
      </c>
      <c r="V3" s="24">
        <f t="shared" si="5"/>
        <v>1</v>
      </c>
      <c r="W3" s="24">
        <f t="shared" si="5"/>
        <v>0</v>
      </c>
      <c r="X3" s="24">
        <f t="shared" ref="X3:X9" si="6">IF(L3="",0,IF(MID(L3,1,1)="-",-1,1))</f>
        <v>0</v>
      </c>
    </row>
    <row r="4" spans="1:24" x14ac:dyDescent="0.2">
      <c r="A4" s="131" t="str">
        <f>CONCATENATE("Dvouhra ",úvod!$C$8," - 1.kolo")</f>
        <v>Dvouhra U19 - 1.kolo</v>
      </c>
      <c r="B4" s="131">
        <f>'2.st. M'!$B$12</f>
        <v>7</v>
      </c>
      <c r="C4" s="131" t="str">
        <f>IF($B4=0,"bye",VLOOKUP($B4,sez!$A$2:$D$259,2))</f>
        <v>Němeček Radek</v>
      </c>
      <c r="D4" s="131" t="str">
        <f>IF($B4=0,"",VLOOKUP($B4,sez!$A$2:$E$259,4))</f>
        <v>MSK Břeclav</v>
      </c>
      <c r="E4" s="131">
        <f>'2.st. M'!$B$14</f>
        <v>12</v>
      </c>
      <c r="F4" s="131" t="str">
        <f>IF($E4=0,"bye",VLOOKUP($E4,sez!$A$2:$D$259,2))</f>
        <v>Horníček Lukáš</v>
      </c>
      <c r="G4" s="131" t="str">
        <f>IF($E4=0,"",VLOOKUP($E4,sez!$A$2:$E$259,4))</f>
        <v>MS Brno</v>
      </c>
      <c r="H4" s="65" t="s">
        <v>72</v>
      </c>
      <c r="I4" s="66" t="s">
        <v>85</v>
      </c>
      <c r="J4" s="66" t="s">
        <v>86</v>
      </c>
      <c r="K4" s="66"/>
      <c r="L4" s="67"/>
      <c r="M4" s="2">
        <f t="shared" si="2"/>
        <v>3</v>
      </c>
      <c r="N4" s="2">
        <f t="shared" si="3"/>
        <v>0</v>
      </c>
      <c r="O4" s="2">
        <f t="shared" si="0"/>
        <v>7</v>
      </c>
      <c r="P4" s="2" t="str">
        <f>IF($O4=0,"",VLOOKUP($O4,sez!$A$2:$D$259,2))</f>
        <v>Němeček Radek</v>
      </c>
      <c r="Q4" s="2" t="str">
        <f t="shared" si="4"/>
        <v>3:0 (7,2,4)</v>
      </c>
      <c r="R4" s="2" t="str">
        <f t="shared" si="1"/>
        <v>3:0 (7,2,4)</v>
      </c>
      <c r="T4" s="24">
        <f t="shared" si="5"/>
        <v>1</v>
      </c>
      <c r="U4" s="24">
        <f t="shared" si="5"/>
        <v>1</v>
      </c>
      <c r="V4" s="24">
        <f t="shared" si="5"/>
        <v>1</v>
      </c>
      <c r="W4" s="24">
        <f t="shared" si="5"/>
        <v>0</v>
      </c>
      <c r="X4" s="24">
        <f t="shared" si="6"/>
        <v>0</v>
      </c>
    </row>
    <row r="5" spans="1:24" x14ac:dyDescent="0.2">
      <c r="A5" s="131" t="str">
        <f>CONCATENATE("Dvouhra ",úvod!$C$8," - 1.kolo")</f>
        <v>Dvouhra U19 - 1.kolo</v>
      </c>
      <c r="B5" s="131">
        <f>'2.st. M'!$B$16</f>
        <v>8</v>
      </c>
      <c r="C5" s="131" t="str">
        <f>IF($B5=0,"bye",VLOOKUP($B5,sez!$A$2:$D$259,2))</f>
        <v>Pokorný Martin</v>
      </c>
      <c r="D5" s="131" t="str">
        <f>IF($B5=0,"",VLOOKUP($B5,sez!$A$2:$E$259,4))</f>
        <v>KST Blansko</v>
      </c>
      <c r="E5" s="131">
        <f>'2.st. M'!$B$18</f>
        <v>4</v>
      </c>
      <c r="F5" s="131" t="str">
        <f>IF($E5=0,"bye",VLOOKUP($E5,sez!$A$2:$D$259,2))</f>
        <v>Luska Petr</v>
      </c>
      <c r="G5" s="131" t="str">
        <f>IF($E5=0,"",VLOOKUP($E5,sez!$A$2:$E$259,4))</f>
        <v>KST Vyškov</v>
      </c>
      <c r="H5" s="65" t="s">
        <v>77</v>
      </c>
      <c r="I5" s="66" t="s">
        <v>82</v>
      </c>
      <c r="J5" s="66" t="s">
        <v>77</v>
      </c>
      <c r="K5" s="66" t="s">
        <v>73</v>
      </c>
      <c r="L5" s="67"/>
      <c r="M5" s="2">
        <f t="shared" si="2"/>
        <v>1</v>
      </c>
      <c r="N5" s="2">
        <f t="shared" si="3"/>
        <v>3</v>
      </c>
      <c r="O5" s="2">
        <f t="shared" si="0"/>
        <v>4</v>
      </c>
      <c r="P5" s="2" t="str">
        <f>IF($O5=0,"",VLOOKUP($O5,sez!$A$2:$D$259,2))</f>
        <v>Luska Petr</v>
      </c>
      <c r="Q5" s="2" t="str">
        <f t="shared" si="4"/>
        <v>3:1 (8,-8,8,4)</v>
      </c>
      <c r="R5" s="2" t="str">
        <f t="shared" si="1"/>
        <v>3:1 (8,-8,8,4)</v>
      </c>
      <c r="T5" s="24">
        <f t="shared" si="5"/>
        <v>-1</v>
      </c>
      <c r="U5" s="24">
        <f t="shared" si="5"/>
        <v>1</v>
      </c>
      <c r="V5" s="24">
        <f t="shared" si="5"/>
        <v>-1</v>
      </c>
      <c r="W5" s="24">
        <f t="shared" si="5"/>
        <v>-1</v>
      </c>
      <c r="X5" s="24">
        <f t="shared" si="6"/>
        <v>0</v>
      </c>
    </row>
    <row r="6" spans="1:24" x14ac:dyDescent="0.2">
      <c r="A6" s="131" t="str">
        <f>CONCATENATE("Dvouhra ",úvod!$C$8," - 1.kolo")</f>
        <v>Dvouhra U19 - 1.kolo</v>
      </c>
      <c r="B6" s="131">
        <f>'2.st. M'!$B$20</f>
        <v>10</v>
      </c>
      <c r="C6" s="131" t="str">
        <f>IF($B6=0,"bye",VLOOKUP($B6,sez!$A$2:$D$259,2))</f>
        <v>Vincenec Oliver</v>
      </c>
      <c r="D6" s="131" t="str">
        <f>IF($B6=0,"",VLOOKUP($B6,sez!$A$2:$E$259,4))</f>
        <v>KST Vyškov</v>
      </c>
      <c r="E6" s="131">
        <f>'2.st. M'!$B$22</f>
        <v>16</v>
      </c>
      <c r="F6" s="131" t="str">
        <f>IF($E6=0,"bye",VLOOKUP($E6,sez!$A$2:$D$259,2))</f>
        <v>Šimeček Robin</v>
      </c>
      <c r="G6" s="131" t="str">
        <f>IF($E6=0,"",VLOOKUP($E6,sez!$A$2:$E$259,4))</f>
        <v>TJ Holásky</v>
      </c>
      <c r="H6" s="65" t="s">
        <v>72</v>
      </c>
      <c r="I6" s="66" t="s">
        <v>70</v>
      </c>
      <c r="J6" s="66" t="s">
        <v>70</v>
      </c>
      <c r="K6" s="66"/>
      <c r="L6" s="67"/>
      <c r="M6" s="2">
        <f t="shared" si="2"/>
        <v>3</v>
      </c>
      <c r="N6" s="2">
        <f t="shared" si="3"/>
        <v>0</v>
      </c>
      <c r="O6" s="2">
        <f t="shared" si="0"/>
        <v>10</v>
      </c>
      <c r="P6" s="2" t="str">
        <f>IF($O6=0,"",VLOOKUP($O6,sez!$A$2:$D$259,2))</f>
        <v>Vincenec Oliver</v>
      </c>
      <c r="Q6" s="2" t="str">
        <f t="shared" si="4"/>
        <v>3:0 (7,5,5)</v>
      </c>
      <c r="R6" s="2" t="str">
        <f t="shared" si="1"/>
        <v>3:0 (7,5,5)</v>
      </c>
      <c r="T6" s="24">
        <f t="shared" si="5"/>
        <v>1</v>
      </c>
      <c r="U6" s="24">
        <f t="shared" si="5"/>
        <v>1</v>
      </c>
      <c r="V6" s="24">
        <f t="shared" si="5"/>
        <v>1</v>
      </c>
      <c r="W6" s="24">
        <f t="shared" si="5"/>
        <v>0</v>
      </c>
      <c r="X6" s="24">
        <f t="shared" si="6"/>
        <v>0</v>
      </c>
    </row>
    <row r="7" spans="1:24" x14ac:dyDescent="0.2">
      <c r="A7" s="131" t="str">
        <f>CONCATENATE("Dvouhra ",úvod!$C$8," - 1.kolo")</f>
        <v>Dvouhra U19 - 1.kolo</v>
      </c>
      <c r="B7" s="131">
        <f>'2.st. M'!$B$24</f>
        <v>21</v>
      </c>
      <c r="C7" s="131" t="str">
        <f>IF($B7=0,"bye",VLOOKUP($B7,sez!$A$2:$D$259,2))</f>
        <v>Lokaj David</v>
      </c>
      <c r="D7" s="131" t="str">
        <f>IF($B7=0,"",VLOOKUP($B7,sez!$A$2:$E$259,4))</f>
        <v>Letonice</v>
      </c>
      <c r="E7" s="131">
        <f>'2.st. M'!$B$26</f>
        <v>6</v>
      </c>
      <c r="F7" s="131" t="str">
        <f>IF($E7=0,"bye",VLOOKUP($E7,sez!$A$2:$D$259,2))</f>
        <v>Pařízek Richard</v>
      </c>
      <c r="G7" s="131" t="str">
        <f>IF($E7=0,"",VLOOKUP($E7,sez!$A$2:$E$259,4))</f>
        <v>SKST Hodonín</v>
      </c>
      <c r="H7" s="65" t="s">
        <v>80</v>
      </c>
      <c r="I7" s="66" t="s">
        <v>81</v>
      </c>
      <c r="J7" s="66" t="s">
        <v>80</v>
      </c>
      <c r="K7" s="66"/>
      <c r="L7" s="67"/>
      <c r="M7" s="2">
        <f t="shared" si="2"/>
        <v>0</v>
      </c>
      <c r="N7" s="2">
        <f t="shared" si="3"/>
        <v>3</v>
      </c>
      <c r="O7" s="2">
        <f t="shared" si="0"/>
        <v>6</v>
      </c>
      <c r="P7" s="2" t="str">
        <f>IF($O7=0,"",VLOOKUP($O7,sez!$A$2:$D$259,2))</f>
        <v>Pařízek Richard</v>
      </c>
      <c r="Q7" s="2" t="str">
        <f t="shared" si="4"/>
        <v>3:0 (5,6,5)</v>
      </c>
      <c r="R7" s="2" t="str">
        <f t="shared" si="1"/>
        <v>3:0 (5,6,5)</v>
      </c>
      <c r="T7" s="24">
        <f t="shared" si="5"/>
        <v>-1</v>
      </c>
      <c r="U7" s="24">
        <f t="shared" si="5"/>
        <v>-1</v>
      </c>
      <c r="V7" s="24">
        <f t="shared" si="5"/>
        <v>-1</v>
      </c>
      <c r="W7" s="24">
        <f t="shared" si="5"/>
        <v>0</v>
      </c>
      <c r="X7" s="24">
        <f t="shared" si="6"/>
        <v>0</v>
      </c>
    </row>
    <row r="8" spans="1:24" x14ac:dyDescent="0.2">
      <c r="A8" s="131" t="str">
        <f>CONCATENATE("Dvouhra ",úvod!$C$8," - 1.kolo")</f>
        <v>Dvouhra U19 - 1.kolo</v>
      </c>
      <c r="B8" s="131">
        <f>'2.st. M'!$B$28</f>
        <v>19</v>
      </c>
      <c r="C8" s="131" t="str">
        <f>IF($B8=0,"bye",VLOOKUP($B8,sez!$A$2:$D$259,2))</f>
        <v>Chromník Martin</v>
      </c>
      <c r="D8" s="131" t="str">
        <f>IF($B8=0,"",VLOOKUP($B8,sez!$A$2:$E$259,4))</f>
        <v>STP Mikulov</v>
      </c>
      <c r="E8" s="131">
        <f>'2.st. M'!$B$30</f>
        <v>9</v>
      </c>
      <c r="F8" s="131" t="str">
        <f>IF($E8=0,"bye",VLOOKUP($E8,sez!$A$2:$D$259,2))</f>
        <v>Štěpánek Ondřej</v>
      </c>
      <c r="G8" s="131" t="str">
        <f>IF($E8=0,"",VLOOKUP($E8,sez!$A$2:$E$259,4))</f>
        <v>KST Blansko</v>
      </c>
      <c r="H8" s="65" t="s">
        <v>70</v>
      </c>
      <c r="I8" s="66" t="s">
        <v>71</v>
      </c>
      <c r="J8" s="66" t="s">
        <v>80</v>
      </c>
      <c r="K8" s="66" t="s">
        <v>86</v>
      </c>
      <c r="L8" s="67"/>
      <c r="M8" s="2">
        <f t="shared" si="2"/>
        <v>3</v>
      </c>
      <c r="N8" s="2">
        <f t="shared" si="3"/>
        <v>1</v>
      </c>
      <c r="O8" s="2">
        <f t="shared" si="0"/>
        <v>19</v>
      </c>
      <c r="P8" s="2" t="str">
        <f>IF($O8=0,"",VLOOKUP($O8,sez!$A$2:$D$259,2))</f>
        <v>Chromník Martin</v>
      </c>
      <c r="Q8" s="2" t="str">
        <f t="shared" si="4"/>
        <v>3:1 (5,9,-5,4)</v>
      </c>
      <c r="R8" s="2" t="str">
        <f t="shared" si="1"/>
        <v>3:1 (5,9,-5,4)</v>
      </c>
      <c r="T8" s="24">
        <f t="shared" si="5"/>
        <v>1</v>
      </c>
      <c r="U8" s="24">
        <f t="shared" si="5"/>
        <v>1</v>
      </c>
      <c r="V8" s="24">
        <f t="shared" si="5"/>
        <v>-1</v>
      </c>
      <c r="W8" s="24">
        <f t="shared" si="5"/>
        <v>1</v>
      </c>
      <c r="X8" s="24">
        <f t="shared" si="6"/>
        <v>0</v>
      </c>
    </row>
    <row r="9" spans="1:24" ht="13.5" thickBot="1" x14ac:dyDescent="0.25">
      <c r="A9" s="131" t="str">
        <f>CONCATENATE("Dvouhra ",úvod!$C$8," - 1.kolo")</f>
        <v>Dvouhra U19 - 1.kolo</v>
      </c>
      <c r="B9" s="131">
        <f>'2.st. M'!$B$32</f>
        <v>0</v>
      </c>
      <c r="C9" s="131" t="str">
        <f>IF($B9=0,"bye",VLOOKUP($B9,sez!$A$2:$D$259,2))</f>
        <v>bye</v>
      </c>
      <c r="D9" s="131" t="str">
        <f>IF($B9=0,"",VLOOKUP($B9,sez!$A$2:$E$259,4))</f>
        <v/>
      </c>
      <c r="E9" s="131">
        <f>'2.st. M'!$B$34</f>
        <v>3</v>
      </c>
      <c r="F9" s="131" t="str">
        <f>IF($E9=0,"bye",VLOOKUP($E9,sez!$A$2:$D$259,2))</f>
        <v>Krištof Lukáš</v>
      </c>
      <c r="G9" s="131" t="str">
        <f>IF($E9=0,"",VLOOKUP($E9,sez!$A$2:$E$259,4))</f>
        <v>Tišnov</v>
      </c>
      <c r="H9" s="68" t="s">
        <v>84</v>
      </c>
      <c r="I9" s="69" t="s">
        <v>84</v>
      </c>
      <c r="J9" s="69" t="s">
        <v>84</v>
      </c>
      <c r="K9" s="69"/>
      <c r="L9" s="70"/>
      <c r="M9" s="2">
        <f t="shared" si="2"/>
        <v>0</v>
      </c>
      <c r="N9" s="2">
        <f t="shared" si="3"/>
        <v>3</v>
      </c>
      <c r="O9" s="2">
        <f t="shared" si="0"/>
        <v>3</v>
      </c>
      <c r="P9" s="2" t="str">
        <f>IF($O9=0,"",VLOOKUP($O9,sez!$A$2:$D$259,2))</f>
        <v>Krištof Lukáš</v>
      </c>
      <c r="Q9" s="2" t="str">
        <f t="shared" si="4"/>
        <v>3:0 (0,0,0)</v>
      </c>
      <c r="R9" s="2" t="str">
        <f t="shared" si="1"/>
        <v>3:0 (0,0,0)</v>
      </c>
      <c r="T9" s="24">
        <f t="shared" si="5"/>
        <v>-1</v>
      </c>
      <c r="U9" s="24">
        <f t="shared" si="5"/>
        <v>-1</v>
      </c>
      <c r="V9" s="24">
        <f t="shared" si="5"/>
        <v>-1</v>
      </c>
      <c r="W9" s="24">
        <f t="shared" si="5"/>
        <v>0</v>
      </c>
      <c r="X9" s="24">
        <f t="shared" si="6"/>
        <v>0</v>
      </c>
    </row>
    <row r="10" spans="1:24" ht="14.25" thickTop="1" thickBot="1" x14ac:dyDescent="0.25">
      <c r="H10" s="19"/>
      <c r="I10" s="19"/>
      <c r="J10" s="19"/>
      <c r="K10" s="19"/>
      <c r="L10" s="19"/>
    </row>
    <row r="11" spans="1:24" ht="13.5" thickTop="1" x14ac:dyDescent="0.2">
      <c r="A11" s="2" t="str">
        <f>CONCATENATE("Dvouhra ",úvod!$C$8," - 2.kolo")</f>
        <v>Dvouhra U19 - 2.kolo</v>
      </c>
      <c r="B11" s="2">
        <f>O2</f>
        <v>2</v>
      </c>
      <c r="C11" s="2" t="str">
        <f>IF($B11=0,"",VLOOKUP($B11,sez!$A$2:$D$259,2))</f>
        <v>Nespěšný Hynek</v>
      </c>
      <c r="D11" s="2" t="str">
        <f>IF($B11=0,"",VLOOKUP($B11,sez!$A$2:$E$259,4))</f>
        <v>MS Brno</v>
      </c>
      <c r="E11" s="2">
        <f>O3</f>
        <v>5</v>
      </c>
      <c r="F11" s="2" t="str">
        <f>IF($E11=0,"",VLOOKUP($E11,sez!$A$2:$D$259,2))</f>
        <v>Drápal Metoděj</v>
      </c>
      <c r="G11" s="2" t="str">
        <f>IF($E11=0,"",VLOOKUP($E11,sez!$A$2:$E$259,4))</f>
        <v>MS Brno</v>
      </c>
      <c r="H11" s="62" t="s">
        <v>94</v>
      </c>
      <c r="I11" s="63" t="s">
        <v>76</v>
      </c>
      <c r="J11" s="63" t="s">
        <v>71</v>
      </c>
      <c r="K11" s="63" t="s">
        <v>95</v>
      </c>
      <c r="L11" s="64" t="s">
        <v>73</v>
      </c>
      <c r="M11" s="2">
        <f>COUNTIF(T11:X11,"&gt;0")</f>
        <v>2</v>
      </c>
      <c r="N11" s="2">
        <f>COUNTIF(T11:X11,"&lt;0")</f>
        <v>3</v>
      </c>
      <c r="O11" s="2">
        <f>IF(M11=N11,0,IF(M11&gt;N11,B11,E11))</f>
        <v>5</v>
      </c>
      <c r="P11" s="2" t="str">
        <f>IF($O11=0,"",VLOOKUP($O11,sez!$A$2:$D$259,2))</f>
        <v>Drápal Metoděj</v>
      </c>
      <c r="Q11" s="2" t="str">
        <f>IF(M11=N11,"",IF(M11&gt;N11,CONCATENATE(M11,":",N11," (",H11,",",I11,",",J11,IF(SUM(M11:N11)&gt;3,",",""),K11,IF(SUM(M11:N11)&gt;4,",",""),L11,")"),CONCATENATE(N11,":",M11," (",IF(H11="0","-0",-H11),",",IF(I11="0","-0",-I11),",",IF(J11="0","-0",-J11),IF(SUM(M11:N11)&gt;3,CONCATENATE(",",IF(K11="0","-0",-K11)),""),IF(SUM(M11:N11)&gt;4,CONCATENATE(",",IF(L11="0","-0",-L11)),""),")")))</f>
        <v>3:2 (11,10,-9,-12,4)</v>
      </c>
      <c r="R11" s="2" t="str">
        <f t="shared" si="1"/>
        <v>3:2 (11,10,-9,-12,4)</v>
      </c>
      <c r="T11" s="24">
        <f t="shared" ref="T11:X14" si="7">IF(H11="",0,IF(MID(H11,1,1)="-",-1,1))</f>
        <v>-1</v>
      </c>
      <c r="U11" s="24">
        <f t="shared" si="7"/>
        <v>-1</v>
      </c>
      <c r="V11" s="24">
        <f t="shared" si="7"/>
        <v>1</v>
      </c>
      <c r="W11" s="24">
        <f t="shared" si="7"/>
        <v>1</v>
      </c>
      <c r="X11" s="24">
        <f t="shared" si="7"/>
        <v>-1</v>
      </c>
    </row>
    <row r="12" spans="1:24" x14ac:dyDescent="0.2">
      <c r="A12" s="2" t="str">
        <f>CONCATENATE("Dvouhra ",úvod!$C$8," - 2.kolo")</f>
        <v>Dvouhra U19 - 2.kolo</v>
      </c>
      <c r="B12" s="2">
        <f>O4</f>
        <v>7</v>
      </c>
      <c r="C12" s="2" t="str">
        <f>IF($B12=0,"",VLOOKUP($B12,sez!$A$2:$D$259,2))</f>
        <v>Němeček Radek</v>
      </c>
      <c r="D12" s="2" t="str">
        <f>IF($B12=0,"",VLOOKUP($B12,sez!$A$2:$E$259,4))</f>
        <v>MSK Břeclav</v>
      </c>
      <c r="E12" s="2">
        <f>O5</f>
        <v>4</v>
      </c>
      <c r="F12" s="2" t="str">
        <f>IF($E12=0,"",VLOOKUP($E12,sez!$A$2:$D$259,2))</f>
        <v>Luska Petr</v>
      </c>
      <c r="G12" s="2" t="str">
        <f>IF($E12=0,"",VLOOKUP($E12,sez!$A$2:$E$259,4))</f>
        <v>KST Vyškov</v>
      </c>
      <c r="H12" s="65" t="s">
        <v>71</v>
      </c>
      <c r="I12" s="66" t="s">
        <v>86</v>
      </c>
      <c r="J12" s="66" t="s">
        <v>71</v>
      </c>
      <c r="K12" s="66"/>
      <c r="L12" s="67"/>
      <c r="M12" s="2">
        <f>COUNTIF(T12:X12,"&gt;0")</f>
        <v>3</v>
      </c>
      <c r="N12" s="2">
        <f>COUNTIF(T12:X12,"&lt;0")</f>
        <v>0</v>
      </c>
      <c r="O12" s="2">
        <f>IF(M12=N12,0,IF(M12&gt;N12,B12,E12))</f>
        <v>7</v>
      </c>
      <c r="P12" s="2" t="str">
        <f>IF($O12=0,"",VLOOKUP($O12,sez!$A$2:$D$259,2))</f>
        <v>Němeček Radek</v>
      </c>
      <c r="Q12" s="2" t="str">
        <f>IF(M12=N12,"",IF(M12&gt;N12,CONCATENATE(M12,":",N12," (",H12,",",I12,",",J12,IF(SUM(M12:N12)&gt;3,",",""),K12,IF(SUM(M12:N12)&gt;4,",",""),L12,")"),CONCATENATE(N12,":",M12," (",IF(H12="0","-0",-H12),",",IF(I12="0","-0",-I12),",",IF(J12="0","-0",-J12),IF(SUM(M12:N12)&gt;3,CONCATENATE(",",IF(K12="0","-0",-K12)),""),IF(SUM(M12:N12)&gt;4,CONCATENATE(",",IF(L12="0","-0",-L12)),""),")")))</f>
        <v>3:0 (9,4,9)</v>
      </c>
      <c r="R12" s="2" t="str">
        <f t="shared" si="1"/>
        <v>3:0 (9,4,9)</v>
      </c>
      <c r="T12" s="24">
        <f t="shared" si="7"/>
        <v>1</v>
      </c>
      <c r="U12" s="24">
        <f t="shared" si="7"/>
        <v>1</v>
      </c>
      <c r="V12" s="24">
        <f t="shared" si="7"/>
        <v>1</v>
      </c>
      <c r="W12" s="24">
        <f t="shared" si="7"/>
        <v>0</v>
      </c>
      <c r="X12" s="24">
        <f t="shared" si="7"/>
        <v>0</v>
      </c>
    </row>
    <row r="13" spans="1:24" x14ac:dyDescent="0.2">
      <c r="A13" s="2" t="str">
        <f>CONCATENATE("Dvouhra ",úvod!$C$8," - 2.kolo")</f>
        <v>Dvouhra U19 - 2.kolo</v>
      </c>
      <c r="B13" s="2">
        <f>O6</f>
        <v>10</v>
      </c>
      <c r="C13" s="2" t="str">
        <f>IF($B13=0,"",VLOOKUP($B13,sez!$A$2:$D$259,2))</f>
        <v>Vincenec Oliver</v>
      </c>
      <c r="D13" s="2" t="str">
        <f>IF($B13=0,"",VLOOKUP($B13,sez!$A$2:$E$259,4))</f>
        <v>KST Vyškov</v>
      </c>
      <c r="E13" s="2">
        <f>O7</f>
        <v>6</v>
      </c>
      <c r="F13" s="2" t="str">
        <f>IF($E13=0,"",VLOOKUP($E13,sez!$A$2:$D$259,2))</f>
        <v>Pařízek Richard</v>
      </c>
      <c r="G13" s="2" t="str">
        <f>IF($E13=0,"",VLOOKUP($E13,sez!$A$2:$E$259,4))</f>
        <v>SKST Hodonín</v>
      </c>
      <c r="H13" s="65" t="s">
        <v>77</v>
      </c>
      <c r="I13" s="66" t="s">
        <v>72</v>
      </c>
      <c r="J13" s="66" t="s">
        <v>81</v>
      </c>
      <c r="K13" s="66" t="s">
        <v>79</v>
      </c>
      <c r="L13" s="67"/>
      <c r="M13" s="2">
        <f>COUNTIF(T13:X13,"&gt;0")</f>
        <v>1</v>
      </c>
      <c r="N13" s="2">
        <f>COUNTIF(T13:X13,"&lt;0")</f>
        <v>3</v>
      </c>
      <c r="O13" s="2">
        <f>IF(M13=N13,0,IF(M13&gt;N13,B13,E13))</f>
        <v>6</v>
      </c>
      <c r="P13" s="2" t="str">
        <f>IF($O13=0,"",VLOOKUP($O13,sez!$A$2:$D$259,2))</f>
        <v>Pařízek Richard</v>
      </c>
      <c r="Q13" s="2" t="str">
        <f>IF(M13=N13,"",IF(M13&gt;N13,CONCATENATE(M13,":",N13," (",H13,",",I13,",",J13,IF(SUM(M13:N13)&gt;3,",",""),K13,IF(SUM(M13:N13)&gt;4,",",""),L13,")"),CONCATENATE(N13,":",M13," (",IF(H13="0","-0",-H13),",",IF(I13="0","-0",-I13),",",IF(J13="0","-0",-J13),IF(SUM(M13:N13)&gt;3,CONCATENATE(",",IF(K13="0","-0",-K13)),""),IF(SUM(M13:N13)&gt;4,CONCATENATE(",",IF(L13="0","-0",-L13)),""),")")))</f>
        <v>3:1 (8,-7,6,7)</v>
      </c>
      <c r="R13" s="2" t="str">
        <f t="shared" si="1"/>
        <v>3:1 (8,-7,6,7)</v>
      </c>
      <c r="T13" s="24">
        <f t="shared" si="7"/>
        <v>-1</v>
      </c>
      <c r="U13" s="24">
        <f t="shared" si="7"/>
        <v>1</v>
      </c>
      <c r="V13" s="24">
        <f t="shared" si="7"/>
        <v>-1</v>
      </c>
      <c r="W13" s="24">
        <f t="shared" si="7"/>
        <v>-1</v>
      </c>
      <c r="X13" s="24">
        <f t="shared" si="7"/>
        <v>0</v>
      </c>
    </row>
    <row r="14" spans="1:24" ht="13.5" thickBot="1" x14ac:dyDescent="0.25">
      <c r="A14" s="2" t="str">
        <f>CONCATENATE("Dvouhra ",úvod!$C$8," - 2.kolo")</f>
        <v>Dvouhra U19 - 2.kolo</v>
      </c>
      <c r="B14" s="2">
        <f>O8</f>
        <v>19</v>
      </c>
      <c r="C14" s="2" t="str">
        <f>IF($B14=0,"",VLOOKUP($B14,sez!$A$2:$D$259,2))</f>
        <v>Chromník Martin</v>
      </c>
      <c r="D14" s="2" t="str">
        <f>IF($B14=0,"",VLOOKUP($B14,sez!$A$2:$E$259,4))</f>
        <v>STP Mikulov</v>
      </c>
      <c r="E14" s="2">
        <f>O9</f>
        <v>3</v>
      </c>
      <c r="F14" s="2" t="str">
        <f>IF($E14=0,"",VLOOKUP($E14,sez!$A$2:$D$259,2))</f>
        <v>Krištof Lukáš</v>
      </c>
      <c r="G14" s="2" t="str">
        <f>IF($E14=0,"",VLOOKUP($E14,sez!$A$2:$E$259,4))</f>
        <v>Tišnov</v>
      </c>
      <c r="H14" s="68" t="s">
        <v>71</v>
      </c>
      <c r="I14" s="69" t="s">
        <v>72</v>
      </c>
      <c r="J14" s="69" t="s">
        <v>86</v>
      </c>
      <c r="K14" s="69"/>
      <c r="L14" s="70"/>
      <c r="M14" s="2">
        <f>COUNTIF(T14:X14,"&gt;0")</f>
        <v>3</v>
      </c>
      <c r="N14" s="2">
        <f>COUNTIF(T14:X14,"&lt;0")</f>
        <v>0</v>
      </c>
      <c r="O14" s="2">
        <f>IF(M14=N14,0,IF(M14&gt;N14,B14,E14))</f>
        <v>19</v>
      </c>
      <c r="P14" s="2" t="str">
        <f>IF($O14=0,"",VLOOKUP($O14,sez!$A$2:$D$259,2))</f>
        <v>Chromník Martin</v>
      </c>
      <c r="Q14" s="2" t="str">
        <f>IF(M14=N14,"",IF(M14&gt;N14,CONCATENATE(M14,":",N14," (",H14,",",I14,",",J14,IF(SUM(M14:N14)&gt;3,",",""),K14,IF(SUM(M14:N14)&gt;4,",",""),L14,")"),CONCATENATE(N14,":",M14," (",IF(H14="0","-0",-H14),",",IF(I14="0","-0",-I14),",",IF(J14="0","-0",-J14),IF(SUM(M14:N14)&gt;3,CONCATENATE(",",IF(K14="0","-0",-K14)),""),IF(SUM(M14:N14)&gt;4,CONCATENATE(",",IF(L14="0","-0",-L14)),""),")")))</f>
        <v>3:0 (9,7,4)</v>
      </c>
      <c r="R14" s="2" t="str">
        <f t="shared" si="1"/>
        <v>3:0 (9,7,4)</v>
      </c>
      <c r="T14" s="24">
        <f t="shared" si="7"/>
        <v>1</v>
      </c>
      <c r="U14" s="24">
        <f t="shared" si="7"/>
        <v>1</v>
      </c>
      <c r="V14" s="24">
        <f t="shared" si="7"/>
        <v>1</v>
      </c>
      <c r="W14" s="24">
        <f t="shared" si="7"/>
        <v>0</v>
      </c>
      <c r="X14" s="24">
        <f t="shared" si="7"/>
        <v>0</v>
      </c>
    </row>
    <row r="15" spans="1:24" ht="14.25" thickTop="1" thickBot="1" x14ac:dyDescent="0.25">
      <c r="H15" s="19"/>
      <c r="I15" s="19"/>
      <c r="J15" s="19"/>
      <c r="K15" s="19"/>
      <c r="L15" s="19"/>
    </row>
    <row r="16" spans="1:24" ht="13.5" thickTop="1" x14ac:dyDescent="0.2">
      <c r="A16" s="2" t="str">
        <f>CONCATENATE("Dvouhra ",úvod!$C$8," - semifinále")</f>
        <v>Dvouhra U19 - semifinále</v>
      </c>
      <c r="B16" s="2">
        <f>O11</f>
        <v>5</v>
      </c>
      <c r="C16" s="2" t="str">
        <f>IF($B16=0,"",VLOOKUP($B16,sez!$A$2:$D$259,2))</f>
        <v>Drápal Metoděj</v>
      </c>
      <c r="D16" s="2" t="str">
        <f>IF($B16=0,"",VLOOKUP($B16,sez!$A$2:$E$259,4))</f>
        <v>MS Brno</v>
      </c>
      <c r="E16" s="2">
        <f>O12</f>
        <v>7</v>
      </c>
      <c r="F16" s="2" t="str">
        <f>IF($E16=0,"",VLOOKUP($E16,sez!$A$2:$D$259,2))</f>
        <v>Němeček Radek</v>
      </c>
      <c r="G16" s="2" t="str">
        <f>IF($E16=0,"",VLOOKUP($E16,sez!$A$2:$E$259,4))</f>
        <v>MSK Břeclav</v>
      </c>
      <c r="H16" s="62" t="s">
        <v>83</v>
      </c>
      <c r="I16" s="63" t="s">
        <v>76</v>
      </c>
      <c r="J16" s="63" t="s">
        <v>95</v>
      </c>
      <c r="K16" s="63" t="s">
        <v>83</v>
      </c>
      <c r="L16" s="64"/>
      <c r="M16" s="2">
        <f>COUNTIF(T16:X16,"&gt;0")</f>
        <v>3</v>
      </c>
      <c r="N16" s="2">
        <f>COUNTIF(T16:X16,"&lt;0")</f>
        <v>1</v>
      </c>
      <c r="O16" s="2">
        <f>IF(M16=N16,0,IF(M16&gt;N16,B16,E16))</f>
        <v>5</v>
      </c>
      <c r="P16" s="2" t="str">
        <f>IF($O16=0,"",VLOOKUP($O16,sez!$A$2:$D$259,2))</f>
        <v>Drápal Metoděj</v>
      </c>
      <c r="Q16" s="2" t="str">
        <f>IF(M16=N16,"",IF(M16&gt;N16,CONCATENATE(M16,":",N16," (",H16,",",I16,",",J16,IF(SUM(M16:N16)&gt;3,",",""),K16,IF(SUM(M16:N16)&gt;4,",",""),L16,")"),CONCATENATE(N16,":",M16," (",IF(H16="0","-0",-H16),",",IF(I16="0","-0",-I16),",",IF(J16="0","-0",-J16),IF(SUM(M16:N16)&gt;3,CONCATENATE(",",IF(K16="0","-0",-K16)),""),IF(SUM(M16:N16)&gt;4,CONCATENATE(",",IF(L16="0","-0",-L16)),""),")")))</f>
        <v>3:1 (6,-10,12,6)</v>
      </c>
      <c r="R16" s="2" t="str">
        <f t="shared" si="1"/>
        <v>3:1 (6,-10,12,6)</v>
      </c>
      <c r="T16" s="24">
        <f t="shared" ref="T16:X17" si="8">IF(H16="",0,IF(MID(H16,1,1)="-",-1,1))</f>
        <v>1</v>
      </c>
      <c r="U16" s="24">
        <f t="shared" si="8"/>
        <v>-1</v>
      </c>
      <c r="V16" s="24">
        <f t="shared" si="8"/>
        <v>1</v>
      </c>
      <c r="W16" s="24">
        <f t="shared" si="8"/>
        <v>1</v>
      </c>
      <c r="X16" s="24">
        <f t="shared" si="8"/>
        <v>0</v>
      </c>
    </row>
    <row r="17" spans="1:24" ht="13.5" thickBot="1" x14ac:dyDescent="0.25">
      <c r="A17" s="2" t="str">
        <f>CONCATENATE("Dvouhra ",úvod!$C$8," - semifinále")</f>
        <v>Dvouhra U19 - semifinále</v>
      </c>
      <c r="B17" s="2">
        <f>O13</f>
        <v>6</v>
      </c>
      <c r="C17" s="2" t="str">
        <f>IF($B17=0,"",VLOOKUP($B17,sez!$A$2:$D$259,2))</f>
        <v>Pařízek Richard</v>
      </c>
      <c r="D17" s="2" t="str">
        <f>IF($B17=0,"",VLOOKUP($B17,sez!$A$2:$E$259,4))</f>
        <v>SKST Hodonín</v>
      </c>
      <c r="E17" s="2">
        <f>O14</f>
        <v>19</v>
      </c>
      <c r="F17" s="2" t="str">
        <f>IF($E17=0,"",VLOOKUP($E17,sez!$A$2:$D$259,2))</f>
        <v>Chromník Martin</v>
      </c>
      <c r="G17" s="2" t="str">
        <f>IF($E17=0,"",VLOOKUP($E17,sez!$A$2:$E$259,4))</f>
        <v>STP Mikulov</v>
      </c>
      <c r="H17" s="68" t="s">
        <v>72</v>
      </c>
      <c r="I17" s="69" t="s">
        <v>82</v>
      </c>
      <c r="J17" s="69" t="s">
        <v>83</v>
      </c>
      <c r="K17" s="69"/>
      <c r="L17" s="70"/>
      <c r="M17" s="2">
        <f>COUNTIF(T17:X17,"&gt;0")</f>
        <v>3</v>
      </c>
      <c r="N17" s="2">
        <f>COUNTIF(T17:X17,"&lt;0")</f>
        <v>0</v>
      </c>
      <c r="O17" s="2">
        <f>IF(M17=N17,0,IF(M17&gt;N17,B17,E17))</f>
        <v>6</v>
      </c>
      <c r="P17" s="2" t="str">
        <f>IF($O17=0,"",VLOOKUP($O17,sez!$A$2:$D$259,2))</f>
        <v>Pařízek Richard</v>
      </c>
      <c r="Q17" s="2" t="str">
        <f>IF(M17=N17,"",IF(M17&gt;N17,CONCATENATE(M17,":",N17," (",H17,",",I17,",",J17,IF(SUM(M17:N17)&gt;3,",",""),K17,IF(SUM(M17:N17)&gt;4,",",""),L17,")"),CONCATENATE(N17,":",M17," (",IF(H17="0","-0",-H17),",",IF(I17="0","-0",-I17),",",IF(J17="0","-0",-J17),IF(SUM(M17:N17)&gt;3,CONCATENATE(",",IF(K17="0","-0",-K17)),""),IF(SUM(M17:N17)&gt;4,CONCATENATE(",",IF(L17="0","-0",-L17)),""),")")))</f>
        <v>3:0 (7,8,6)</v>
      </c>
      <c r="R17" s="2" t="str">
        <f t="shared" si="1"/>
        <v>3:0 (7,8,6)</v>
      </c>
      <c r="T17" s="24">
        <f t="shared" si="8"/>
        <v>1</v>
      </c>
      <c r="U17" s="24">
        <f t="shared" si="8"/>
        <v>1</v>
      </c>
      <c r="V17" s="24">
        <f t="shared" si="8"/>
        <v>1</v>
      </c>
      <c r="W17" s="24">
        <f t="shared" si="8"/>
        <v>0</v>
      </c>
      <c r="X17" s="24">
        <f t="shared" si="8"/>
        <v>0</v>
      </c>
    </row>
    <row r="18" spans="1:24" ht="14.25" thickTop="1" thickBot="1" x14ac:dyDescent="0.25">
      <c r="H18" s="19"/>
      <c r="I18" s="19"/>
      <c r="J18" s="19"/>
      <c r="K18" s="19"/>
      <c r="L18" s="19"/>
    </row>
    <row r="19" spans="1:24" ht="14.25" thickTop="1" thickBot="1" x14ac:dyDescent="0.25">
      <c r="A19" s="2" t="str">
        <f>CONCATENATE("Dvouhra ",úvod!$C$8," - finále")</f>
        <v>Dvouhra U19 - finále</v>
      </c>
      <c r="B19" s="2">
        <f>O16</f>
        <v>5</v>
      </c>
      <c r="C19" s="2" t="str">
        <f>IF($B19=0,"",VLOOKUP($B19,sez!$A$2:$D$259,2))</f>
        <v>Drápal Metoděj</v>
      </c>
      <c r="D19" s="2" t="str">
        <f>IF($B19=0,"",VLOOKUP($B19,sez!$A$2:$E$259,4))</f>
        <v>MS Brno</v>
      </c>
      <c r="E19" s="2">
        <f>O17</f>
        <v>6</v>
      </c>
      <c r="F19" s="2" t="str">
        <f>IF($E19=0,"",VLOOKUP($E19,sez!$A$2:$D$259,2))</f>
        <v>Pařízek Richard</v>
      </c>
      <c r="G19" s="2" t="str">
        <f>IF($E19=0,"",VLOOKUP($E19,sez!$A$2:$E$259,4))</f>
        <v>SKST Hodonín</v>
      </c>
      <c r="H19" s="71" t="s">
        <v>75</v>
      </c>
      <c r="I19" s="72" t="s">
        <v>81</v>
      </c>
      <c r="J19" s="72" t="s">
        <v>92</v>
      </c>
      <c r="K19" s="72"/>
      <c r="L19" s="73"/>
      <c r="M19" s="2">
        <f>COUNTIF(T19:X19,"&gt;0")</f>
        <v>0</v>
      </c>
      <c r="N19" s="2">
        <f>COUNTIF(T19:X19,"&lt;0")</f>
        <v>3</v>
      </c>
      <c r="O19" s="2">
        <f>IF(M19=N19,0,IF(M19&gt;N19,B19,E19))</f>
        <v>6</v>
      </c>
      <c r="P19" s="2" t="str">
        <f>IF($O19=0,"",VLOOKUP($O19,sez!$A$2:$D$259,2))</f>
        <v>Pařízek Richard</v>
      </c>
      <c r="Q19" s="2" t="str">
        <f>IF(M19=N19,"",IF(M19&gt;N19,CONCATENATE(M19,":",N19," (",H19,",",I19,",",J19,IF(SUM(M19:N19)&gt;3,",",""),K19,IF(SUM(M19:N19)&gt;4,",",""),L19,")"),CONCATENATE(N19,":",M19," (",IF(H19="0","-0",-H19),",",IF(I19="0","-0",-I19),",",IF(J19="0","-0",-J19),IF(SUM(M19:N19)&gt;3,CONCATENATE(",",IF(K19="0","-0",-K19)),""),IF(SUM(M19:N19)&gt;4,CONCATENATE(",",IF(L19="0","-0",-L19)),""),")")))</f>
        <v>3:0 (9,6,1)</v>
      </c>
      <c r="R19" s="2" t="str">
        <f t="shared" si="1"/>
        <v>3:0 (9,6,1)</v>
      </c>
      <c r="T19" s="24">
        <f>IF(H19="",0,IF(MID(H19,1,1)="-",-1,1))</f>
        <v>-1</v>
      </c>
      <c r="U19" s="24">
        <f>IF(I19="",0,IF(MID(I19,1,1)="-",-1,1))</f>
        <v>-1</v>
      </c>
      <c r="V19" s="24">
        <f>IF(J19="",0,IF(MID(J19,1,1)="-",-1,1))</f>
        <v>-1</v>
      </c>
      <c r="W19" s="24">
        <f>IF(K19="",0,IF(MID(K19,1,1)="-",-1,1))</f>
        <v>0</v>
      </c>
      <c r="X19" s="24">
        <f>IF(L19="",0,IF(MID(L19,1,1)="-",-1,1))</f>
        <v>0</v>
      </c>
    </row>
    <row r="20" spans="1:24" ht="13.5" thickTop="1" x14ac:dyDescent="0.2">
      <c r="H20" s="19"/>
      <c r="I20" s="19"/>
      <c r="J20" s="19"/>
      <c r="K20" s="19"/>
      <c r="L20" s="19"/>
    </row>
    <row r="21" spans="1:24" x14ac:dyDescent="0.2">
      <c r="C21" s="2" t="str">
        <f>IF($B21=0,"",VLOOKUP($B21,sez!$A$2:$D$259,2))</f>
        <v/>
      </c>
      <c r="D21" s="2" t="str">
        <f>IF($B21=0,"",VLOOKUP($B21,sez!$A$2:$D$259,3))</f>
        <v/>
      </c>
    </row>
    <row r="22" spans="1:24" x14ac:dyDescent="0.2">
      <c r="C22" s="2" t="str">
        <f>IF($B22=0,"",VLOOKUP($B22,sez!$A$2:$D$259,2))</f>
        <v/>
      </c>
      <c r="D22" s="2" t="str">
        <f>IF($B22=0,"",VLOOKUP($B22,sez!$A$2:$D$259,3))</f>
        <v/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20"/>
  <sheetViews>
    <sheetView tabSelected="1" view="pageBreakPreview" topLeftCell="A7" zoomScaleNormal="75" zoomScaleSheetLayoutView="100" workbookViewId="0">
      <selection activeCell="K25" sqref="K25"/>
    </sheetView>
  </sheetViews>
  <sheetFormatPr defaultRowHeight="12.75" x14ac:dyDescent="0.2"/>
  <cols>
    <col min="1" max="1" width="2.7109375" style="2" bestFit="1" customWidth="1"/>
    <col min="2" max="2" width="5" style="2" customWidth="1"/>
    <col min="3" max="3" width="34.28515625" style="2" bestFit="1" customWidth="1"/>
    <col min="4" max="4" width="0.85546875" style="2" customWidth="1"/>
    <col min="5" max="7" width="31.42578125" style="2" customWidth="1"/>
    <col min="8" max="16384" width="9.140625" style="2"/>
  </cols>
  <sheetData>
    <row r="1" spans="1:7" ht="27" customHeight="1" x14ac:dyDescent="0.3">
      <c r="B1" s="3" t="str">
        <f>úvod!C6</f>
        <v>Krajské přebory</v>
      </c>
      <c r="G1" s="85"/>
    </row>
    <row r="2" spans="1:7" ht="21" customHeight="1" x14ac:dyDescent="0.3">
      <c r="B2" s="78"/>
      <c r="G2" s="20" t="str">
        <f>CONCATENATE("Dvouhra ",úvod!C8,"Ž - 2.stupeň")</f>
        <v>Dvouhra U19Ž - 2.stupeň</v>
      </c>
    </row>
    <row r="3" spans="1:7" ht="13.5" x14ac:dyDescent="0.25">
      <c r="D3" s="4"/>
      <c r="G3" s="80"/>
    </row>
    <row r="4" spans="1:7" ht="13.5" x14ac:dyDescent="0.25">
      <c r="D4" s="4"/>
      <c r="G4" s="80"/>
    </row>
    <row r="5" spans="1:7" ht="26.25" customHeight="1" x14ac:dyDescent="0.2">
      <c r="A5" s="2">
        <v>1</v>
      </c>
      <c r="B5" s="103">
        <v>41</v>
      </c>
      <c r="C5" s="5" t="str">
        <f>IF($B5="","-----------",CONCATENATE(VLOOKUP($B5,sez!$A$2:$E$259,2)," (",VLOOKUP($B5,sez!$A$2:$E$259,4),")"))</f>
        <v>Sobotíková Monika (MS Brno)</v>
      </c>
    </row>
    <row r="6" spans="1:7" ht="26.25" customHeight="1" x14ac:dyDescent="0.2">
      <c r="D6" s="13"/>
      <c r="E6" s="5" t="str">
        <f>'výs 2st. Ž'!P2</f>
        <v>Sobotíková Monika</v>
      </c>
    </row>
    <row r="7" spans="1:7" ht="26.25" customHeight="1" x14ac:dyDescent="0.2">
      <c r="A7" s="2">
        <v>2</v>
      </c>
      <c r="B7" s="103"/>
      <c r="C7" s="5" t="str">
        <f>IF($B7="","-----------",CONCATENATE(VLOOKUP($B7,sez!$A$2:$E$259,2)," (",VLOOKUP($B7,sez!$A$2:$E$259,4),")"))</f>
        <v>-----------</v>
      </c>
      <c r="D7" s="14"/>
      <c r="E7" s="6" t="str">
        <f>'výs 2st. Ž'!R2</f>
        <v>3:0 (0,0,0)</v>
      </c>
    </row>
    <row r="8" spans="1:7" ht="26.25" customHeight="1" x14ac:dyDescent="0.2">
      <c r="D8" s="15"/>
      <c r="E8" s="8"/>
      <c r="F8" s="21" t="str">
        <f>'výs 2st. Ž'!P7</f>
        <v>Dreits Anastasiia</v>
      </c>
    </row>
    <row r="9" spans="1:7" ht="26.25" customHeight="1" x14ac:dyDescent="0.2">
      <c r="A9" s="2">
        <v>3</v>
      </c>
      <c r="B9" s="103">
        <v>44</v>
      </c>
      <c r="C9" s="5" t="str">
        <f>IF($B9="","-----------",CONCATENATE(VLOOKUP($B9,sez!$A$2:$E$259,2)," (",VLOOKUP($B9,sez!$A$2:$E$259,4),")"))</f>
        <v>Novotná Eliška (SKST Hodonín)</v>
      </c>
      <c r="D9" s="12"/>
      <c r="E9" s="8"/>
      <c r="F9" s="6" t="str">
        <f>'výs 2st. Ž'!R7</f>
        <v>3:1 (-7,3,8,8)</v>
      </c>
    </row>
    <row r="10" spans="1:7" ht="26.25" customHeight="1" x14ac:dyDescent="0.2">
      <c r="D10" s="13"/>
      <c r="E10" s="7" t="str">
        <f>'výs 2st. Ž'!P3</f>
        <v>Dreits Anastasiia</v>
      </c>
      <c r="F10" s="8"/>
    </row>
    <row r="11" spans="1:7" ht="26.25" customHeight="1" x14ac:dyDescent="0.2">
      <c r="A11" s="2">
        <v>4</v>
      </c>
      <c r="B11" s="103">
        <v>45</v>
      </c>
      <c r="C11" s="5" t="str">
        <f>IF($B11="","-----------",CONCATENATE(VLOOKUP($B11,sez!$A$2:$E$259,2)," (",VLOOKUP($B11,sez!$A$2:$E$259,4),")"))</f>
        <v>Dreits Anastasiia (Tišnov)</v>
      </c>
      <c r="D11" s="14"/>
      <c r="E11" s="2" t="str">
        <f>'výs 2st. Ž'!R3</f>
        <v>3:0 (8,8,8)</v>
      </c>
      <c r="F11" s="8"/>
    </row>
    <row r="12" spans="1:7" ht="26.25" customHeight="1" x14ac:dyDescent="0.2">
      <c r="D12" s="15"/>
      <c r="F12" s="8"/>
      <c r="G12" s="21" t="str">
        <f>'výs 2st. Ž'!P10</f>
        <v>Holubová Simona</v>
      </c>
    </row>
    <row r="13" spans="1:7" ht="26.25" customHeight="1" x14ac:dyDescent="0.2">
      <c r="A13" s="2">
        <v>5</v>
      </c>
      <c r="B13" s="103">
        <v>43</v>
      </c>
      <c r="C13" s="5" t="str">
        <f>IF($B13="","-----------",CONCATENATE(VLOOKUP($B13,sez!$A$2:$E$259,2)," (",VLOOKUP($B13,sez!$A$2:$E$259,4),")"))</f>
        <v>Holubová Simona (SKST Hodonín)</v>
      </c>
      <c r="D13" s="12"/>
      <c r="F13" s="8"/>
      <c r="G13" s="86" t="str">
        <f>'výs 2st. Ž'!R10</f>
        <v>3:2 (5,-7,-5,8,8)</v>
      </c>
    </row>
    <row r="14" spans="1:7" ht="26.25" customHeight="1" x14ac:dyDescent="0.2">
      <c r="D14" s="13"/>
      <c r="E14" s="5" t="str">
        <f>'výs 2st. Ž'!P4</f>
        <v>Holubová Simona</v>
      </c>
      <c r="F14" s="8"/>
      <c r="G14" s="81"/>
    </row>
    <row r="15" spans="1:7" ht="26.25" customHeight="1" x14ac:dyDescent="0.2">
      <c r="A15" s="2">
        <v>6</v>
      </c>
      <c r="B15" s="103">
        <v>46</v>
      </c>
      <c r="C15" s="5" t="str">
        <f>IF($B15="","-----------",CONCATENATE(VLOOKUP($B15,sez!$A$2:$E$259,2)," (",VLOOKUP($B15,sez!$A$2:$E$259,4),")"))</f>
        <v>Masopustová Lucie (MSK Břeclav)</v>
      </c>
      <c r="D15" s="14"/>
      <c r="E15" s="6" t="str">
        <f>'výs 2st. Ž'!R4</f>
        <v>3:1 (7,-5,8,10)</v>
      </c>
      <c r="F15" s="8"/>
      <c r="G15" s="81"/>
    </row>
    <row r="16" spans="1:7" ht="26.25" customHeight="1" x14ac:dyDescent="0.2">
      <c r="D16" s="15"/>
      <c r="E16" s="8"/>
      <c r="F16" s="22" t="str">
        <f>'výs 2st. Ž'!P8</f>
        <v>Holubová Simona</v>
      </c>
      <c r="G16" s="81"/>
    </row>
    <row r="17" spans="1:7" ht="26.25" customHeight="1" x14ac:dyDescent="0.2">
      <c r="A17" s="2">
        <v>7</v>
      </c>
      <c r="B17" s="103"/>
      <c r="C17" s="5" t="str">
        <f>IF($B17="","-----------",CONCATENATE(VLOOKUP($B17,sez!$A$2:$E$259,2)," (",VLOOKUP($B17,sez!$A$2:$E$259,4),")"))</f>
        <v>-----------</v>
      </c>
      <c r="D17" s="12"/>
      <c r="E17" s="8"/>
      <c r="F17" s="2" t="str">
        <f>'výs 2st. Ž'!R8</f>
        <v>3:0 (2,6,7)</v>
      </c>
      <c r="G17" s="81"/>
    </row>
    <row r="18" spans="1:7" ht="26.25" customHeight="1" x14ac:dyDescent="0.2">
      <c r="D18" s="13"/>
      <c r="E18" s="7" t="str">
        <f>'výs 2st. Ž'!P5</f>
        <v>Novohradská Karolína</v>
      </c>
      <c r="G18" s="81"/>
    </row>
    <row r="19" spans="1:7" ht="26.25" customHeight="1" x14ac:dyDescent="0.2">
      <c r="A19" s="2">
        <v>8</v>
      </c>
      <c r="B19" s="103">
        <v>42</v>
      </c>
      <c r="C19" s="5" t="str">
        <f>IF($B19="","-----------",CONCATENATE(VLOOKUP($B19,sez!$A$2:$E$259,2)," (",VLOOKUP($B19,sez!$A$2:$E$259,4),")"))</f>
        <v>Novohradská Karolína (KST Blansko)</v>
      </c>
      <c r="D19" s="14"/>
      <c r="E19" s="2" t="str">
        <f>'výs 2st. Ž'!R5</f>
        <v>3:0 (0,0,0)</v>
      </c>
      <c r="G19" s="81"/>
    </row>
    <row r="20" spans="1:7" ht="15" customHeight="1" x14ac:dyDescent="0.2">
      <c r="D20" s="15"/>
      <c r="G20" s="81"/>
    </row>
  </sheetData>
  <phoneticPr fontId="0" type="noConversion"/>
  <printOptions horizontalCentered="1"/>
  <pageMargins left="0.39370078740157483" right="0.39370078740157483" top="0.39370078740157483" bottom="0.78740157480314965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13"/>
  <sheetViews>
    <sheetView workbookViewId="0">
      <pane ySplit="1" topLeftCell="A2" activePane="bottomLeft" state="frozen"/>
      <selection pane="bottomLeft" activeCell="M10" sqref="M10"/>
    </sheetView>
  </sheetViews>
  <sheetFormatPr defaultRowHeight="12.75" x14ac:dyDescent="0.2"/>
  <cols>
    <col min="1" max="1" width="26.42578125" style="2" customWidth="1"/>
    <col min="2" max="2" width="4.5703125" style="2" bestFit="1" customWidth="1"/>
    <col min="3" max="3" width="15.140625" style="2" bestFit="1" customWidth="1"/>
    <col min="4" max="4" width="19.5703125" style="2" bestFit="1" customWidth="1"/>
    <col min="5" max="5" width="4.5703125" style="2" bestFit="1" customWidth="1"/>
    <col min="6" max="6" width="16" style="2" bestFit="1" customWidth="1"/>
    <col min="7" max="7" width="19.5703125" style="2" bestFit="1" customWidth="1"/>
    <col min="8" max="12" width="5.28515625" style="2" customWidth="1"/>
    <col min="13" max="14" width="4.28515625" style="2" customWidth="1"/>
    <col min="15" max="15" width="4.5703125" style="2" bestFit="1" customWidth="1"/>
    <col min="16" max="16" width="5.5703125" style="2" customWidth="1"/>
    <col min="17" max="17" width="15" style="2" bestFit="1" customWidth="1"/>
    <col min="18" max="18" width="18.85546875" style="2" bestFit="1" customWidth="1"/>
    <col min="19" max="19" width="3.5703125" style="2" customWidth="1"/>
    <col min="20" max="24" width="3" style="2" customWidth="1"/>
    <col min="25" max="16384" width="9.140625" style="2"/>
  </cols>
  <sheetData>
    <row r="1" spans="1:24" ht="14.25" thickTop="1" thickBot="1" x14ac:dyDescent="0.25">
      <c r="B1" s="1" t="s">
        <v>0</v>
      </c>
      <c r="C1" s="1" t="s">
        <v>1</v>
      </c>
      <c r="D1" s="1" t="s">
        <v>2</v>
      </c>
      <c r="E1" s="1" t="s">
        <v>0</v>
      </c>
      <c r="F1" s="1" t="s">
        <v>3</v>
      </c>
      <c r="G1" s="1" t="s">
        <v>2</v>
      </c>
      <c r="H1" s="16" t="s">
        <v>4</v>
      </c>
      <c r="I1" s="17" t="s">
        <v>5</v>
      </c>
      <c r="J1" s="17" t="s">
        <v>6</v>
      </c>
      <c r="K1" s="17" t="s">
        <v>7</v>
      </c>
      <c r="L1" s="18" t="s">
        <v>8</v>
      </c>
      <c r="M1" s="1" t="s">
        <v>9</v>
      </c>
      <c r="N1" s="1" t="s">
        <v>10</v>
      </c>
      <c r="O1" s="1" t="s">
        <v>11</v>
      </c>
    </row>
    <row r="2" spans="1:24" ht="13.5" thickTop="1" x14ac:dyDescent="0.2">
      <c r="A2" s="131" t="str">
        <f>CONCATENATE("Dvouhra ",úvod!$C$8," - 1.kolo")</f>
        <v>Dvouhra U19 - 1.kolo</v>
      </c>
      <c r="B2" s="131">
        <f>'2.st. Ž'!$B$5</f>
        <v>41</v>
      </c>
      <c r="C2" s="131" t="str">
        <f>IF($B2=0,"-----------",VLOOKUP($B2,sez!$A$2:$D$259,2))</f>
        <v>Sobotíková Monika</v>
      </c>
      <c r="D2" s="131" t="str">
        <f>IF($B2=0,"",VLOOKUP($B2,sez!$A$2:$E$259,4))</f>
        <v>MS Brno</v>
      </c>
      <c r="E2" s="131">
        <f>'2.st. Ž'!$B$7</f>
        <v>0</v>
      </c>
      <c r="F2" s="131" t="str">
        <f>IF($E2=0,"-----------",VLOOKUP($E2,sez!$A$2:$D$259,2))</f>
        <v>-----------</v>
      </c>
      <c r="G2" s="131" t="str">
        <f>IF($E2=0,"",VLOOKUP($E2,sez!$A$2:$E$259,4))</f>
        <v/>
      </c>
      <c r="H2" s="62" t="s">
        <v>89</v>
      </c>
      <c r="I2" s="63" t="s">
        <v>89</v>
      </c>
      <c r="J2" s="63" t="s">
        <v>89</v>
      </c>
      <c r="K2" s="63"/>
      <c r="L2" s="64"/>
      <c r="M2" s="2">
        <f>COUNTIF(T2:X2,"&gt;0")</f>
        <v>3</v>
      </c>
      <c r="N2" s="2">
        <f>COUNTIF(T2:X2,"&lt;0")</f>
        <v>0</v>
      </c>
      <c r="O2" s="2">
        <f>IF(M2=N2,0,IF(M2&gt;N2,B2,E2))</f>
        <v>41</v>
      </c>
      <c r="P2" s="2" t="str">
        <f>IF($O2=0,"",VLOOKUP($O2,sez!$A$2:$D$259,2))</f>
        <v>Sobotíková Monika</v>
      </c>
      <c r="Q2" s="2" t="str">
        <f>IF(M2=N2,"",IF(M2&gt;N2,CONCATENATE(M2,":",N2," (",H2,",",I2,",",J2,IF(SUM(M2:N2)&gt;3,",",""),K2,IF(SUM(M2:N2)&gt;4,",",""),L2,")"),CONCATENATE(N2,":",M2," (",IF(H2="0","-0",-H2),",",IF(I2="0","-0",-I2),",",IF(J2="0","-0",-J2),IF(SUM(M2:N2)&gt;3,CONCATENATE(",",IF(K2="0","-0",-K2)),""),IF(SUM(M2:N2)&gt;4,CONCATENATE(",",IF(L2="0","-0",-L2)),""),")")))</f>
        <v>3:0 (0,0,0)</v>
      </c>
      <c r="R2" s="2" t="str">
        <f>IF(MAX(M2:N2)=3,Q2,"")</f>
        <v>3:0 (0,0,0)</v>
      </c>
      <c r="S2" s="24"/>
      <c r="T2" s="24">
        <f t="shared" ref="T2:X5" si="0">IF(H2="",0,IF(MID(H2,1,1)="-",-1,1))</f>
        <v>1</v>
      </c>
      <c r="U2" s="24">
        <f t="shared" si="0"/>
        <v>1</v>
      </c>
      <c r="V2" s="24">
        <f t="shared" si="0"/>
        <v>1</v>
      </c>
      <c r="W2" s="24">
        <f t="shared" si="0"/>
        <v>0</v>
      </c>
      <c r="X2" s="24">
        <f t="shared" si="0"/>
        <v>0</v>
      </c>
    </row>
    <row r="3" spans="1:24" x14ac:dyDescent="0.2">
      <c r="A3" s="131" t="str">
        <f>CONCATENATE("Dvouhra ",úvod!$C$8," - 1.kolo")</f>
        <v>Dvouhra U19 - 1.kolo</v>
      </c>
      <c r="B3" s="131">
        <f>'2.st. Ž'!$B$9</f>
        <v>44</v>
      </c>
      <c r="C3" s="131" t="str">
        <f>IF($B3=0,"-----------",VLOOKUP($B3,sez!$A$2:$D$259,2))</f>
        <v>Novotná Eliška</v>
      </c>
      <c r="D3" s="131" t="str">
        <f>IF($B3=0,"",VLOOKUP($B3,sez!$A$2:$E$259,4))</f>
        <v>SKST Hodonín</v>
      </c>
      <c r="E3" s="131">
        <f>'2.st. Ž'!$B$11</f>
        <v>45</v>
      </c>
      <c r="F3" s="131" t="str">
        <f>IF($E3=0,"-----------",VLOOKUP($E3,sez!$A$2:$D$259,2))</f>
        <v>Dreits Anastasiia</v>
      </c>
      <c r="G3" s="131" t="str">
        <f>IF($E3=0,"",VLOOKUP($E3,sez!$A$2:$E$259,4))</f>
        <v>Tišnov</v>
      </c>
      <c r="H3" s="65" t="s">
        <v>77</v>
      </c>
      <c r="I3" s="66" t="s">
        <v>77</v>
      </c>
      <c r="J3" s="66" t="s">
        <v>77</v>
      </c>
      <c r="K3" s="66"/>
      <c r="L3" s="67"/>
      <c r="M3" s="2">
        <f>COUNTIF(T3:X3,"&gt;0")</f>
        <v>0</v>
      </c>
      <c r="N3" s="2">
        <f>COUNTIF(T3:X3,"&lt;0")</f>
        <v>3</v>
      </c>
      <c r="O3" s="2">
        <f>IF(M3=N3,0,IF(M3&gt;N3,B3,E3))</f>
        <v>45</v>
      </c>
      <c r="P3" s="2" t="str">
        <f>IF($O3=0,"",VLOOKUP($O3,sez!$A$2:$D$259,2))</f>
        <v>Dreits Anastasiia</v>
      </c>
      <c r="Q3" s="2" t="str">
        <f>IF(M3=N3,"",IF(M3&gt;N3,CONCATENATE(M3,":",N3," (",H3,",",I3,",",J3,IF(SUM(M3:N3)&gt;3,",",""),K3,IF(SUM(M3:N3)&gt;4,",",""),L3,")"),CONCATENATE(N3,":",M3," (",IF(H3="0","-0",-H3),",",IF(I3="0","-0",-I3),",",IF(J3="0","-0",-J3),IF(SUM(M3:N3)&gt;3,CONCATENATE(",",IF(K3="0","-0",-K3)),""),IF(SUM(M3:N3)&gt;4,CONCATENATE(",",IF(L3="0","-0",-L3)),""),")")))</f>
        <v>3:0 (8,8,8)</v>
      </c>
      <c r="R3" s="2" t="str">
        <f>IF(MAX(M3:N3)=3,Q3,"")</f>
        <v>3:0 (8,8,8)</v>
      </c>
      <c r="T3" s="24">
        <f t="shared" si="0"/>
        <v>-1</v>
      </c>
      <c r="U3" s="24">
        <f t="shared" si="0"/>
        <v>-1</v>
      </c>
      <c r="V3" s="24">
        <f t="shared" si="0"/>
        <v>-1</v>
      </c>
      <c r="W3" s="24">
        <f t="shared" si="0"/>
        <v>0</v>
      </c>
      <c r="X3" s="24">
        <f t="shared" si="0"/>
        <v>0</v>
      </c>
    </row>
    <row r="4" spans="1:24" x14ac:dyDescent="0.2">
      <c r="A4" s="131" t="str">
        <f>CONCATENATE("Dvouhra ",úvod!$C$8," - 1.kolo")</f>
        <v>Dvouhra U19 - 1.kolo</v>
      </c>
      <c r="B4" s="131">
        <f>'2.st. Ž'!$B$13</f>
        <v>43</v>
      </c>
      <c r="C4" s="131" t="str">
        <f>IF($B4=0,"-----------",VLOOKUP($B4,sez!$A$2:$D$259,2))</f>
        <v>Holubová Simona</v>
      </c>
      <c r="D4" s="131" t="str">
        <f>IF($B4=0,"",VLOOKUP($B4,sez!$A$2:$E$259,4))</f>
        <v>SKST Hodonín</v>
      </c>
      <c r="E4" s="131">
        <f>'2.st. Ž'!$B$15</f>
        <v>46</v>
      </c>
      <c r="F4" s="131" t="str">
        <f>IF($E4=0,"-----------",VLOOKUP($E4,sez!$A$2:$D$259,2))</f>
        <v>Masopustová Lucie</v>
      </c>
      <c r="G4" s="131" t="str">
        <f>IF($E4=0,"",VLOOKUP($E4,sez!$A$2:$E$259,4))</f>
        <v>MSK Břeclav</v>
      </c>
      <c r="H4" s="65" t="s">
        <v>72</v>
      </c>
      <c r="I4" s="66" t="s">
        <v>80</v>
      </c>
      <c r="J4" s="66" t="s">
        <v>82</v>
      </c>
      <c r="K4" s="66" t="s">
        <v>90</v>
      </c>
      <c r="L4" s="67"/>
      <c r="M4" s="2">
        <f>COUNTIF(T4:X4,"&gt;0")</f>
        <v>3</v>
      </c>
      <c r="N4" s="2">
        <f>COUNTIF(T4:X4,"&lt;0")</f>
        <v>1</v>
      </c>
      <c r="O4" s="2">
        <f>IF(M4=N4,0,IF(M4&gt;N4,B4,E4))</f>
        <v>43</v>
      </c>
      <c r="P4" s="2" t="str">
        <f>IF($O4=0,"",VLOOKUP($O4,sez!$A$2:$D$259,2))</f>
        <v>Holubová Simona</v>
      </c>
      <c r="Q4" s="2" t="str">
        <f>IF(M4=N4,"",IF(M4&gt;N4,CONCATENATE(M4,":",N4," (",H4,",",I4,",",J4,IF(SUM(M4:N4)&gt;3,",",""),K4,IF(SUM(M4:N4)&gt;4,",",""),L4,")"),CONCATENATE(N4,":",M4," (",IF(H4="0","-0",-H4),",",IF(I4="0","-0",-I4),",",IF(J4="0","-0",-J4),IF(SUM(M4:N4)&gt;3,CONCATENATE(",",IF(K4="0","-0",-K4)),""),IF(SUM(M4:N4)&gt;4,CONCATENATE(",",IF(L4="0","-0",-L4)),""),")")))</f>
        <v>3:1 (7,-5,8,10)</v>
      </c>
      <c r="R4" s="2" t="str">
        <f>IF(MAX(M4:N4)=3,Q4,"")</f>
        <v>3:1 (7,-5,8,10)</v>
      </c>
      <c r="T4" s="24">
        <f t="shared" si="0"/>
        <v>1</v>
      </c>
      <c r="U4" s="24">
        <f t="shared" si="0"/>
        <v>-1</v>
      </c>
      <c r="V4" s="24">
        <f t="shared" si="0"/>
        <v>1</v>
      </c>
      <c r="W4" s="24">
        <f t="shared" si="0"/>
        <v>1</v>
      </c>
      <c r="X4" s="24">
        <f t="shared" si="0"/>
        <v>0</v>
      </c>
    </row>
    <row r="5" spans="1:24" ht="13.5" thickBot="1" x14ac:dyDescent="0.25">
      <c r="A5" s="131" t="str">
        <f>CONCATENATE("Dvouhra ",úvod!$C$8," - 1.kolo")</f>
        <v>Dvouhra U19 - 1.kolo</v>
      </c>
      <c r="B5" s="131">
        <f>'2.st. Ž'!$B$17</f>
        <v>0</v>
      </c>
      <c r="C5" s="131" t="str">
        <f>IF($B5=0,"-----------",VLOOKUP($B5,sez!$A$2:$D$259,2))</f>
        <v>-----------</v>
      </c>
      <c r="D5" s="131" t="str">
        <f>IF($B5=0,"",VLOOKUP($B5,sez!$A$2:$E$259,4))</f>
        <v/>
      </c>
      <c r="E5" s="131">
        <f>'2.st. Ž'!$B$19</f>
        <v>42</v>
      </c>
      <c r="F5" s="131" t="str">
        <f>IF($E5=0,"-----------",VLOOKUP($E5,sez!$A$2:$D$259,2))</f>
        <v>Novohradská Karolína</v>
      </c>
      <c r="G5" s="131" t="str">
        <f>IF($E5=0,"",VLOOKUP($E5,sez!$A$2:$E$259,4))</f>
        <v>KST Blansko</v>
      </c>
      <c r="H5" s="68" t="s">
        <v>84</v>
      </c>
      <c r="I5" s="69" t="s">
        <v>84</v>
      </c>
      <c r="J5" s="69" t="s">
        <v>84</v>
      </c>
      <c r="K5" s="69"/>
      <c r="L5" s="70"/>
      <c r="M5" s="2">
        <f>COUNTIF(T5:X5,"&gt;0")</f>
        <v>0</v>
      </c>
      <c r="N5" s="2">
        <f>COUNTIF(T5:X5,"&lt;0")</f>
        <v>3</v>
      </c>
      <c r="O5" s="2">
        <f>IF(M5=N5,0,IF(M5&gt;N5,B5,E5))</f>
        <v>42</v>
      </c>
      <c r="P5" s="2" t="str">
        <f>IF($O5=0,"",VLOOKUP($O5,sez!$A$2:$D$259,2))</f>
        <v>Novohradská Karolína</v>
      </c>
      <c r="Q5" s="2" t="str">
        <f>IF(M5=N5,"",IF(M5&gt;N5,CONCATENATE(M5,":",N5," (",H5,",",I5,",",J5,IF(SUM(M5:N5)&gt;3,",",""),K5,IF(SUM(M5:N5)&gt;4,",",""),L5,")"),CONCATENATE(N5,":",M5," (",IF(H5="0","-0",-H5),",",IF(I5="0","-0",-I5),",",IF(J5="0","-0",-J5),IF(SUM(M5:N5)&gt;3,CONCATENATE(",",IF(K5="0","-0",-K5)),""),IF(SUM(M5:N5)&gt;4,CONCATENATE(",",IF(L5="0","-0",-L5)),""),")")))</f>
        <v>3:0 (0,0,0)</v>
      </c>
      <c r="R5" s="2" t="str">
        <f>IF(MAX(M5:N5)=3,Q5,"")</f>
        <v>3:0 (0,0,0)</v>
      </c>
      <c r="T5" s="24">
        <f t="shared" si="0"/>
        <v>-1</v>
      </c>
      <c r="U5" s="24">
        <f t="shared" si="0"/>
        <v>-1</v>
      </c>
      <c r="V5" s="24">
        <f t="shared" si="0"/>
        <v>-1</v>
      </c>
      <c r="W5" s="24">
        <f t="shared" si="0"/>
        <v>0</v>
      </c>
      <c r="X5" s="24">
        <f t="shared" si="0"/>
        <v>0</v>
      </c>
    </row>
    <row r="6" spans="1:24" ht="14.25" thickTop="1" thickBot="1" x14ac:dyDescent="0.25">
      <c r="H6" s="19"/>
      <c r="I6" s="19"/>
      <c r="J6" s="19"/>
      <c r="K6" s="19"/>
      <c r="L6" s="19"/>
    </row>
    <row r="7" spans="1:24" ht="13.5" thickTop="1" x14ac:dyDescent="0.2">
      <c r="A7" s="2" t="str">
        <f>CONCATENATE("Dvouhra ",úvod!$C$8," - semifinále")</f>
        <v>Dvouhra U19 - semifinále</v>
      </c>
      <c r="B7" s="2">
        <f>O2</f>
        <v>41</v>
      </c>
      <c r="C7" s="2" t="str">
        <f>IF($B7=0,"",VLOOKUP($B7,sez!$A$2:$D$259,2))</f>
        <v>Sobotíková Monika</v>
      </c>
      <c r="D7" s="2" t="str">
        <f>IF($B7=0,"",VLOOKUP($B7,sez!$A$2:$E$259,4))</f>
        <v>MS Brno</v>
      </c>
      <c r="E7" s="2">
        <f>O3</f>
        <v>45</v>
      </c>
      <c r="F7" s="2" t="str">
        <f>IF($E7=0,"",VLOOKUP($E7,sez!$A$2:$D$259,2))</f>
        <v>Dreits Anastasiia</v>
      </c>
      <c r="G7" s="2" t="str">
        <f>IF($E7=0,"",VLOOKUP($E7,sez!$A$2:$E$259,4))</f>
        <v>Tišnov</v>
      </c>
      <c r="H7" s="62" t="s">
        <v>72</v>
      </c>
      <c r="I7" s="63" t="s">
        <v>78</v>
      </c>
      <c r="J7" s="63" t="s">
        <v>77</v>
      </c>
      <c r="K7" s="63" t="s">
        <v>77</v>
      </c>
      <c r="L7" s="64"/>
      <c r="M7" s="2">
        <f>COUNTIF(T7:X7,"&gt;0")</f>
        <v>1</v>
      </c>
      <c r="N7" s="2">
        <f>COUNTIF(T7:X7,"&lt;0")</f>
        <v>3</v>
      </c>
      <c r="O7" s="2">
        <f>IF(M7=N7,0,IF(M7&gt;N7,B7,E7))</f>
        <v>45</v>
      </c>
      <c r="P7" s="2" t="str">
        <f>IF($O7=0,"",VLOOKUP($O7,sez!$A$2:$D$259,2))</f>
        <v>Dreits Anastasiia</v>
      </c>
      <c r="Q7" s="2" t="str">
        <f>IF(M7=N7,"",IF(M7&gt;N7,CONCATENATE(M7,":",N7," (",H7,",",I7,",",J7,IF(SUM(M7:N7)&gt;3,",",""),K7,IF(SUM(M7:N7)&gt;4,",",""),L7,")"),CONCATENATE(N7,":",M7," (",IF(H7="0","-0",-H7),",",IF(I7="0","-0",-I7),",",IF(J7="0","-0",-J7),IF(SUM(M7:N7)&gt;3,CONCATENATE(",",IF(K7="0","-0",-K7)),""),IF(SUM(M7:N7)&gt;4,CONCATENATE(",",IF(L7="0","-0",-L7)),""),")")))</f>
        <v>3:1 (-7,3,8,8)</v>
      </c>
      <c r="R7" s="2" t="str">
        <f>IF(MAX(M7:N7)=3,Q7,"")</f>
        <v>3:1 (-7,3,8,8)</v>
      </c>
      <c r="T7" s="24">
        <f t="shared" ref="T7:X8" si="1">IF(H7="",0,IF(MID(H7,1,1)="-",-1,1))</f>
        <v>1</v>
      </c>
      <c r="U7" s="24">
        <f t="shared" si="1"/>
        <v>-1</v>
      </c>
      <c r="V7" s="24">
        <f t="shared" si="1"/>
        <v>-1</v>
      </c>
      <c r="W7" s="24">
        <f t="shared" si="1"/>
        <v>-1</v>
      </c>
      <c r="X7" s="24">
        <f t="shared" si="1"/>
        <v>0</v>
      </c>
    </row>
    <row r="8" spans="1:24" ht="13.5" thickBot="1" x14ac:dyDescent="0.25">
      <c r="A8" s="2" t="str">
        <f>CONCATENATE("Dvouhra ",úvod!$C$8," - semifinále")</f>
        <v>Dvouhra U19 - semifinále</v>
      </c>
      <c r="B8" s="2">
        <f>O4</f>
        <v>43</v>
      </c>
      <c r="C8" s="2" t="str">
        <f>IF($B8=0,"",VLOOKUP($B8,sez!$A$2:$D$259,2))</f>
        <v>Holubová Simona</v>
      </c>
      <c r="D8" s="2" t="str">
        <f>IF($B8=0,"",VLOOKUP($B8,sez!$A$2:$E$259,4))</f>
        <v>SKST Hodonín</v>
      </c>
      <c r="E8" s="2">
        <f>O5</f>
        <v>42</v>
      </c>
      <c r="F8" s="2" t="str">
        <f>IF($E8=0,"",VLOOKUP($E8,sez!$A$2:$D$259,2))</f>
        <v>Novohradská Karolína</v>
      </c>
      <c r="G8" s="2" t="str">
        <f>IF($E8=0,"",VLOOKUP($E8,sez!$A$2:$E$259,4))</f>
        <v>KST Blansko</v>
      </c>
      <c r="H8" s="68" t="s">
        <v>85</v>
      </c>
      <c r="I8" s="69" t="s">
        <v>83</v>
      </c>
      <c r="J8" s="69" t="s">
        <v>72</v>
      </c>
      <c r="K8" s="69"/>
      <c r="L8" s="70"/>
      <c r="M8" s="2">
        <f>COUNTIF(T8:X8,"&gt;0")</f>
        <v>3</v>
      </c>
      <c r="N8" s="2">
        <f>COUNTIF(T8:X8,"&lt;0")</f>
        <v>0</v>
      </c>
      <c r="O8" s="2">
        <f>IF(M8=N8,0,IF(M8&gt;N8,B8,E8))</f>
        <v>43</v>
      </c>
      <c r="P8" s="2" t="str">
        <f>IF($O8=0,"",VLOOKUP($O8,sez!$A$2:$D$259,2))</f>
        <v>Holubová Simona</v>
      </c>
      <c r="Q8" s="2" t="str">
        <f>IF(M8=N8,"",IF(M8&gt;N8,CONCATENATE(M8,":",N8," (",H8,",",I8,",",J8,IF(SUM(M8:N8)&gt;3,",",""),K8,IF(SUM(M8:N8)&gt;4,",",""),L8,")"),CONCATENATE(N8,":",M8," (",IF(H8="0","-0",-H8),",",IF(I8="0","-0",-I8),",",IF(J8="0","-0",-J8),IF(SUM(M8:N8)&gt;3,CONCATENATE(",",IF(K8="0","-0",-K8)),""),IF(SUM(M8:N8)&gt;4,CONCATENATE(",",IF(L8="0","-0",-L8)),""),")")))</f>
        <v>3:0 (2,6,7)</v>
      </c>
      <c r="R8" s="2" t="str">
        <f>IF(MAX(M8:N8)=3,Q8,"")</f>
        <v>3:0 (2,6,7)</v>
      </c>
      <c r="T8" s="24">
        <f t="shared" si="1"/>
        <v>1</v>
      </c>
      <c r="U8" s="24">
        <f t="shared" si="1"/>
        <v>1</v>
      </c>
      <c r="V8" s="24">
        <f t="shared" si="1"/>
        <v>1</v>
      </c>
      <c r="W8" s="24">
        <f t="shared" si="1"/>
        <v>0</v>
      </c>
      <c r="X8" s="24">
        <f t="shared" si="1"/>
        <v>0</v>
      </c>
    </row>
    <row r="9" spans="1:24" ht="14.25" thickTop="1" thickBot="1" x14ac:dyDescent="0.25">
      <c r="H9" s="19"/>
      <c r="I9" s="19"/>
      <c r="J9" s="19"/>
      <c r="K9" s="19"/>
      <c r="L9" s="19"/>
    </row>
    <row r="10" spans="1:24" ht="14.25" thickTop="1" thickBot="1" x14ac:dyDescent="0.25">
      <c r="A10" s="2" t="str">
        <f>CONCATENATE("Dvouhra ",úvod!$C$8," - finále")</f>
        <v>Dvouhra U19 - finále</v>
      </c>
      <c r="B10" s="2">
        <f>O7</f>
        <v>45</v>
      </c>
      <c r="C10" s="2" t="str">
        <f>IF($B10=0,"",VLOOKUP($B10,sez!$A$2:$D$259,2))</f>
        <v>Dreits Anastasiia</v>
      </c>
      <c r="D10" s="2" t="str">
        <f>IF($B10=0,"",VLOOKUP($B10,sez!$A$2:$E$259,4))</f>
        <v>Tišnov</v>
      </c>
      <c r="E10" s="2">
        <f>O8</f>
        <v>43</v>
      </c>
      <c r="F10" s="2" t="str">
        <f>IF($E10=0,"",VLOOKUP($E10,sez!$A$2:$D$259,2))</f>
        <v>Holubová Simona</v>
      </c>
      <c r="G10" s="2" t="str">
        <f>IF($E10=0,"",VLOOKUP($E10,sez!$A$2:$E$259,4))</f>
        <v>SKST Hodonín</v>
      </c>
      <c r="H10" s="71" t="s">
        <v>80</v>
      </c>
      <c r="I10" s="72" t="s">
        <v>72</v>
      </c>
      <c r="J10" s="72" t="s">
        <v>70</v>
      </c>
      <c r="K10" s="72" t="s">
        <v>77</v>
      </c>
      <c r="L10" s="73" t="s">
        <v>77</v>
      </c>
      <c r="M10" s="2">
        <f>COUNTIF(T10:X10,"&gt;0")</f>
        <v>2</v>
      </c>
      <c r="N10" s="2">
        <f>COUNTIF(T10:X10,"&lt;0")</f>
        <v>3</v>
      </c>
      <c r="O10" s="2">
        <f>IF(M10=N10,0,IF(M10&gt;N10,B10,E10))</f>
        <v>43</v>
      </c>
      <c r="P10" s="2" t="str">
        <f>IF($O10=0,"",VLOOKUP($O10,sez!$A$2:$D$259,2))</f>
        <v>Holubová Simona</v>
      </c>
      <c r="Q10" s="2" t="str">
        <f>IF(M10=N10,"",IF(M10&gt;N10,CONCATENATE(M10,":",N10," (",H10,",",I10,",",J10,IF(SUM(M10:N10)&gt;3,",",""),K10,IF(SUM(M10:N10)&gt;4,",",""),L10,")"),CONCATENATE(N10,":",M10," (",IF(H10="0","-0",-H10),",",IF(I10="0","-0",-I10),",",IF(J10="0","-0",-J10),IF(SUM(M10:N10)&gt;3,CONCATENATE(",",IF(K10="0","-0",-K10)),""),IF(SUM(M10:N10)&gt;4,CONCATENATE(",",IF(L10="0","-0",-L10)),""),")")))</f>
        <v>3:2 (5,-7,-5,8,8)</v>
      </c>
      <c r="R10" s="2" t="str">
        <f>IF(MAX(M10:N10)=3,Q10,"")</f>
        <v>3:2 (5,-7,-5,8,8)</v>
      </c>
      <c r="T10" s="24">
        <f>IF(H10="",0,IF(MID(H10,1,1)="-",-1,1))</f>
        <v>-1</v>
      </c>
      <c r="U10" s="24">
        <f>IF(I10="",0,IF(MID(I10,1,1)="-",-1,1))</f>
        <v>1</v>
      </c>
      <c r="V10" s="24">
        <f>IF(J10="",0,IF(MID(J10,1,1)="-",-1,1))</f>
        <v>1</v>
      </c>
      <c r="W10" s="24">
        <f>IF(K10="",0,IF(MID(K10,1,1)="-",-1,1))</f>
        <v>-1</v>
      </c>
      <c r="X10" s="24">
        <f>IF(L10="",0,IF(MID(L10,1,1)="-",-1,1))</f>
        <v>-1</v>
      </c>
    </row>
    <row r="11" spans="1:24" ht="13.5" thickTop="1" x14ac:dyDescent="0.2">
      <c r="H11" s="19"/>
      <c r="I11" s="19"/>
      <c r="J11" s="19"/>
      <c r="K11" s="19"/>
      <c r="L11" s="19"/>
    </row>
    <row r="12" spans="1:24" x14ac:dyDescent="0.2">
      <c r="C12" s="2" t="str">
        <f>IF($B12=0,"",VLOOKUP($B12,sez!$A$2:$D$259,2))</f>
        <v/>
      </c>
      <c r="D12" s="2" t="str">
        <f>IF($B12=0,"",VLOOKUP($B12,sez!$A$2:$D$259,3))</f>
        <v/>
      </c>
    </row>
    <row r="13" spans="1:24" x14ac:dyDescent="0.2">
      <c r="C13" s="2" t="str">
        <f>IF($B13=0,"",VLOOKUP($B13,sez!$A$2:$D$259,2))</f>
        <v/>
      </c>
      <c r="D13" s="2" t="str">
        <f>IF($B13=0,"",VLOOKUP($B13,sez!$A$2:$D$259,3))</f>
        <v/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10</vt:i4>
      </vt:variant>
    </vt:vector>
  </HeadingPairs>
  <TitlesOfParts>
    <vt:vector size="31" baseType="lpstr">
      <vt:lpstr>úvod</vt:lpstr>
      <vt:lpstr>sez</vt:lpstr>
      <vt:lpstr>debl</vt:lpstr>
      <vt:lpstr>1.st. M</vt:lpstr>
      <vt:lpstr>1.st. Ž</vt:lpstr>
      <vt:lpstr>2.st. M</vt:lpstr>
      <vt:lpstr>výs 2.st M</vt:lpstr>
      <vt:lpstr>2.st. Ž</vt:lpstr>
      <vt:lpstr>výs 2st. Ž</vt:lpstr>
      <vt:lpstr>Z-singl</vt:lpstr>
      <vt:lpstr>Z-singlŽ</vt:lpstr>
      <vt:lpstr>T-singl</vt:lpstr>
      <vt:lpstr>T-singlŽ</vt:lpstr>
      <vt:lpstr>MIX</vt:lpstr>
      <vt:lpstr>výs MIX</vt:lpstr>
      <vt:lpstr>čt. Ž</vt:lpstr>
      <vt:lpstr>výs čt. Ž</vt:lpstr>
      <vt:lpstr>čt. M</vt:lpstr>
      <vt:lpstr>výs čt. M</vt:lpstr>
      <vt:lpstr>Z-debl</vt:lpstr>
      <vt:lpstr>T-debl</vt:lpstr>
      <vt:lpstr>sez!Názvy_tisku</vt:lpstr>
      <vt:lpstr>'1.st. M'!Oblast_tisku</vt:lpstr>
      <vt:lpstr>'1.st. Ž'!Oblast_tisku</vt:lpstr>
      <vt:lpstr>'2.st. Ž'!Oblast_tisku</vt:lpstr>
      <vt:lpstr>'čt. M'!Oblast_tisku</vt:lpstr>
      <vt:lpstr>'čt. Ž'!Oblast_tisku</vt:lpstr>
      <vt:lpstr>MIX!Oblast_tisku</vt:lpstr>
      <vt:lpstr>'T-debl'!Oblast_tisku</vt:lpstr>
      <vt:lpstr>'T-singl'!Oblast_tisku</vt:lpstr>
      <vt:lpstr>'T-singlŽ'!Oblast_tisku</vt:lpstr>
    </vt:vector>
  </TitlesOfParts>
  <Company>Česká asociace stolního tenisu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 Novák</dc:creator>
  <cp:lastModifiedBy>tharna</cp:lastModifiedBy>
  <cp:lastPrinted>2022-01-23T15:47:24Z</cp:lastPrinted>
  <dcterms:created xsi:type="dcterms:W3CDTF">2002-02-19T15:28:55Z</dcterms:created>
  <dcterms:modified xsi:type="dcterms:W3CDTF">2022-01-23T15:47:56Z</dcterms:modified>
</cp:coreProperties>
</file>