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9408" firstSheet="3" activeTab="13"/>
  </bookViews>
  <sheets>
    <sheet name="seznam" sheetId="1" r:id="rId1"/>
    <sheet name="debl" sheetId="2" r:id="rId2"/>
    <sheet name="1.st žáci" sheetId="3" r:id="rId3"/>
    <sheet name="1. st. žákyně" sheetId="4" r:id="rId4"/>
    <sheet name="2.st žáci" sheetId="5" r:id="rId5"/>
    <sheet name="výsl. žáci" sheetId="6" r:id="rId6"/>
    <sheet name="2.st žákyně" sheetId="7" r:id="rId7"/>
    <sheet name="výsl. žákyně" sheetId="8" r:id="rId8"/>
    <sheet name="čt. žáci" sheetId="9" r:id="rId9"/>
    <sheet name="výsl. čt. žáci" sheetId="10" r:id="rId10"/>
    <sheet name="čt. žákyně" sheetId="11" r:id="rId11"/>
    <sheet name="výsl. čt. žákyně" sheetId="12" r:id="rId12"/>
    <sheet name="MIX" sheetId="13" r:id="rId13"/>
    <sheet name="výsl. MIX" sheetId="14" r:id="rId14"/>
  </sheets>
  <definedNames>
    <definedName name="_xlnm.Print_Titles" localSheetId="0">'seznam'!$1:$1</definedName>
    <definedName name="_xlnm.Print_Area" localSheetId="2">'1.st žáci'!$A$1:$K$23</definedName>
    <definedName name="_xlnm.Print_Area" localSheetId="6">'2.st žákyně'!$A$1:$G$19</definedName>
    <definedName name="_xlnm.Print_Area" localSheetId="8">'čt. žáci'!$A$1:$H$69</definedName>
    <definedName name="_xlnm.Print_Area" localSheetId="10">'čt. žákyně'!$A$1:$H$70</definedName>
    <definedName name="_xlnm.Print_Area" localSheetId="12">'MIX'!$A$1:$H$67</definedName>
  </definedNames>
  <calcPr fullCalcOnLoad="1"/>
</workbook>
</file>

<file path=xl/sharedStrings.xml><?xml version="1.0" encoding="utf-8"?>
<sst xmlns="http://schemas.openxmlformats.org/spreadsheetml/2006/main" count="538" uniqueCount="126">
  <si>
    <t>číslo</t>
  </si>
  <si>
    <t>hráč1</t>
  </si>
  <si>
    <t>klub</t>
  </si>
  <si>
    <t>hráč2</t>
  </si>
  <si>
    <t>set1</t>
  </si>
  <si>
    <t>set2</t>
  </si>
  <si>
    <t>set3</t>
  </si>
  <si>
    <t>set4</t>
  </si>
  <si>
    <t>set5</t>
  </si>
  <si>
    <t>D</t>
  </si>
  <si>
    <t>H</t>
  </si>
  <si>
    <t>vítěz</t>
  </si>
  <si>
    <t>Jméno</t>
  </si>
  <si>
    <t>Oddíl</t>
  </si>
  <si>
    <t>hráč3</t>
  </si>
  <si>
    <t>hráč4</t>
  </si>
  <si>
    <t>Body</t>
  </si>
  <si>
    <t>Pořadí</t>
  </si>
  <si>
    <t>&lt;Table&gt;&lt;TR&gt;&lt;TD width=500&gt;</t>
  </si>
  <si>
    <t xml:space="preserve"> </t>
  </si>
  <si>
    <t>Skupina A</t>
  </si>
  <si>
    <t>Skupina B</t>
  </si>
  <si>
    <t>Skupina C</t>
  </si>
  <si>
    <t>datnar</t>
  </si>
  <si>
    <t>XXX</t>
  </si>
  <si>
    <t>umístění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</si>
  <si>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</si>
  <si>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</si>
  <si>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</si>
  <si>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</si>
  <si>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</si>
  <si>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</si>
  <si>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</si>
  <si>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</si>
  <si>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</si>
  <si>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</si>
  <si>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</si>
  <si>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</si>
  <si>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</si>
  <si>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</si>
  <si>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</si>
  <si>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</si>
  <si>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</si>
  <si>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</si>
  <si>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1. kolo</t>
  </si>
  <si>
    <t>2. kolo</t>
  </si>
  <si>
    <t>semifinále</t>
  </si>
  <si>
    <t>finále</t>
  </si>
  <si>
    <t>KST Blansko</t>
  </si>
  <si>
    <t>KST Vyškov</t>
  </si>
  <si>
    <t>MSK Břeclav</t>
  </si>
  <si>
    <t>Hutáková Pavla</t>
  </si>
  <si>
    <t>2</t>
  </si>
  <si>
    <t>MS Brno</t>
  </si>
  <si>
    <t>Tišnov</t>
  </si>
  <si>
    <t>TJ Holásky</t>
  </si>
  <si>
    <t>Klobouky u Brna</t>
  </si>
  <si>
    <t>Velké Opatovice</t>
  </si>
  <si>
    <t>MK Řeznovice</t>
  </si>
  <si>
    <t>Nespěšný Hynek</t>
  </si>
  <si>
    <t>Luska Petr</t>
  </si>
  <si>
    <t>Drápal Mětoděj</t>
  </si>
  <si>
    <t>Vincenec Oliver</t>
  </si>
  <si>
    <t>Horníček Lukáš</t>
  </si>
  <si>
    <t>Havránek Ondřej</t>
  </si>
  <si>
    <t>Kurdiovský Matěj</t>
  </si>
  <si>
    <t>Grünwald Michal</t>
  </si>
  <si>
    <t>Šimeček Robin</t>
  </si>
  <si>
    <t>Svoboda Ondřej</t>
  </si>
  <si>
    <t>Buriánek Martin</t>
  </si>
  <si>
    <t>Huták Ondřej</t>
  </si>
  <si>
    <t>Lysoněk Filip</t>
  </si>
  <si>
    <t>Luňáček Matěj</t>
  </si>
  <si>
    <t>Ševčík Ondřej</t>
  </si>
  <si>
    <t>Dohnal František</t>
  </si>
  <si>
    <t>Radkovský Adam</t>
  </si>
  <si>
    <t>Pop Daniel</t>
  </si>
  <si>
    <t>Sobotíková Monika</t>
  </si>
  <si>
    <t>Dreits Anastasiia</t>
  </si>
  <si>
    <t>Pilitowská Lea</t>
  </si>
  <si>
    <t>Bedřichová Ema</t>
  </si>
  <si>
    <t>Sedláčková Amélie</t>
  </si>
  <si>
    <t>Plíšková Kateřina</t>
  </si>
  <si>
    <t>Plíšková Kristýna</t>
  </si>
  <si>
    <t>Začalová Kristýna</t>
  </si>
  <si>
    <t xml:space="preserve">Hutáková Pavla </t>
  </si>
  <si>
    <t>Chalupa David</t>
  </si>
  <si>
    <t>čtyřhra U17 dívky</t>
  </si>
  <si>
    <t>1.stupeň U17 chlapci</t>
  </si>
  <si>
    <t>KP Tišnov</t>
  </si>
  <si>
    <t>1.stupeň U17 dívky</t>
  </si>
  <si>
    <t>2.stupeň U17 chlapci</t>
  </si>
  <si>
    <t>2.stupeň U17dívky</t>
  </si>
  <si>
    <t>1</t>
  </si>
  <si>
    <t>8</t>
  </si>
  <si>
    <t>0</t>
  </si>
  <si>
    <t>6</t>
  </si>
  <si>
    <t>10</t>
  </si>
  <si>
    <t>5</t>
  </si>
  <si>
    <t>3</t>
  </si>
  <si>
    <t>7</t>
  </si>
  <si>
    <t>9</t>
  </si>
  <si>
    <t>-9</t>
  </si>
  <si>
    <t>-1</t>
  </si>
  <si>
    <t>-6</t>
  </si>
  <si>
    <t>4</t>
  </si>
  <si>
    <t>-2</t>
  </si>
  <si>
    <t>-3</t>
  </si>
  <si>
    <t>-7</t>
  </si>
  <si>
    <t>-5</t>
  </si>
  <si>
    <t>-4</t>
  </si>
  <si>
    <t>-12</t>
  </si>
  <si>
    <t>-13</t>
  </si>
  <si>
    <t>14</t>
  </si>
  <si>
    <t>-8</t>
  </si>
  <si>
    <t>-0</t>
  </si>
  <si>
    <t>-10</t>
  </si>
  <si>
    <t>W.O.</t>
  </si>
  <si>
    <t xml:space="preserve">-0 </t>
  </si>
  <si>
    <t>bye</t>
  </si>
  <si>
    <t>11</t>
  </si>
  <si>
    <t>-11</t>
  </si>
  <si>
    <t>MIX U17</t>
  </si>
  <si>
    <t>Drápal Metoděj</t>
  </si>
  <si>
    <t>čtyřhra U17 chlapci</t>
  </si>
  <si>
    <t>15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</si>
</sst>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/yy"/>
    <numFmt numFmtId="167" formatCode="m/yy"/>
    <numFmt numFmtId="168" formatCode="d/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"/>
  </numFmts>
  <fonts count="51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6"/>
      <name val="Times New Roman CE"/>
      <family val="1"/>
    </font>
    <font>
      <b/>
      <i/>
      <sz val="10"/>
      <name val="Times New Roman CE"/>
      <family val="1"/>
    </font>
    <font>
      <sz val="8"/>
      <name val="Verdana"/>
      <family val="2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b/>
      <sz val="18"/>
      <name val="Times New Roman CE"/>
      <family val="0"/>
    </font>
    <font>
      <b/>
      <sz val="1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FF0000"/>
      </diagonal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0" borderId="1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9" fillId="33" borderId="37" xfId="0" applyNumberFormat="1" applyFont="1" applyFill="1" applyBorder="1" applyAlignment="1">
      <alignment/>
    </xf>
    <xf numFmtId="49" fontId="9" fillId="33" borderId="38" xfId="0" applyNumberFormat="1" applyFont="1" applyFill="1" applyBorder="1" applyAlignment="1">
      <alignment/>
    </xf>
    <xf numFmtId="49" fontId="9" fillId="33" borderId="39" xfId="0" applyNumberFormat="1" applyFont="1" applyFill="1" applyBorder="1" applyAlignment="1">
      <alignment/>
    </xf>
    <xf numFmtId="49" fontId="9" fillId="33" borderId="4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49" fontId="9" fillId="33" borderId="41" xfId="0" applyNumberFormat="1" applyFont="1" applyFill="1" applyBorder="1" applyAlignment="1">
      <alignment/>
    </xf>
    <xf numFmtId="49" fontId="9" fillId="33" borderId="42" xfId="0" applyNumberFormat="1" applyFont="1" applyFill="1" applyBorder="1" applyAlignment="1">
      <alignment/>
    </xf>
    <xf numFmtId="49" fontId="9" fillId="33" borderId="19" xfId="0" applyNumberFormat="1" applyFont="1" applyFill="1" applyBorder="1" applyAlignment="1">
      <alignment/>
    </xf>
    <xf numFmtId="49" fontId="9" fillId="33" borderId="43" xfId="0" applyNumberFormat="1" applyFont="1" applyFill="1" applyBorder="1" applyAlignment="1">
      <alignment/>
    </xf>
    <xf numFmtId="49" fontId="2" fillId="33" borderId="37" xfId="0" applyNumberFormat="1" applyFont="1" applyFill="1" applyBorder="1" applyAlignment="1">
      <alignment/>
    </xf>
    <xf numFmtId="49" fontId="2" fillId="33" borderId="38" xfId="0" applyNumberFormat="1" applyFont="1" applyFill="1" applyBorder="1" applyAlignment="1">
      <alignment/>
    </xf>
    <xf numFmtId="49" fontId="2" fillId="33" borderId="39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2" fillId="33" borderId="41" xfId="0" applyNumberFormat="1" applyFont="1" applyFill="1" applyBorder="1" applyAlignment="1">
      <alignment/>
    </xf>
    <xf numFmtId="49" fontId="2" fillId="33" borderId="42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49" fontId="2" fillId="33" borderId="43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0" fontId="2" fillId="0" borderId="44" xfId="0" applyFont="1" applyBorder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45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33" borderId="21" xfId="0" applyNumberFormat="1" applyFont="1" applyFill="1" applyBorder="1" applyAlignment="1">
      <alignment/>
    </xf>
    <xf numFmtId="0" fontId="5" fillId="0" borderId="46" xfId="0" applyFont="1" applyBorder="1" applyAlignment="1">
      <alignment/>
    </xf>
    <xf numFmtId="0" fontId="5" fillId="0" borderId="46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2" xfId="49"/>
    <cellStyle name="Normální 13" xfId="50"/>
    <cellStyle name="Normální 14" xfId="51"/>
    <cellStyle name="Normální 15" xfId="52"/>
    <cellStyle name="Normální 16" xfId="53"/>
    <cellStyle name="Normální 17" xfId="54"/>
    <cellStyle name="Normální 18" xfId="55"/>
    <cellStyle name="Normální 19" xfId="56"/>
    <cellStyle name="normální 2" xfId="57"/>
    <cellStyle name="Normální 2 10" xfId="58"/>
    <cellStyle name="normální 2 2" xfId="59"/>
    <cellStyle name="Normální 2 3" xfId="60"/>
    <cellStyle name="Normální 2 4" xfId="61"/>
    <cellStyle name="Normální 2 5" xfId="62"/>
    <cellStyle name="Normální 2 6" xfId="63"/>
    <cellStyle name="Normální 2 7" xfId="64"/>
    <cellStyle name="Normální 2 8" xfId="65"/>
    <cellStyle name="Normální 2 9" xfId="66"/>
    <cellStyle name="Normální 20" xfId="67"/>
    <cellStyle name="Normální 21" xfId="68"/>
    <cellStyle name="Normální 22" xfId="69"/>
    <cellStyle name="Normální 23" xfId="70"/>
    <cellStyle name="Normální 24" xfId="71"/>
    <cellStyle name="Normální 25" xfId="72"/>
    <cellStyle name="Normální 26" xfId="73"/>
    <cellStyle name="Normální 27" xfId="74"/>
    <cellStyle name="Normální 28" xfId="75"/>
    <cellStyle name="Normální 29" xfId="76"/>
    <cellStyle name="Normální 3" xfId="77"/>
    <cellStyle name="Normální 30" xfId="78"/>
    <cellStyle name="Normální 31" xfId="79"/>
    <cellStyle name="Normální 32" xfId="80"/>
    <cellStyle name="Normální 33" xfId="81"/>
    <cellStyle name="Normální 34" xfId="82"/>
    <cellStyle name="Normální 4" xfId="83"/>
    <cellStyle name="Normální 5" xfId="84"/>
    <cellStyle name="Normální 6" xfId="85"/>
    <cellStyle name="Normální 7" xfId="86"/>
    <cellStyle name="Normální 8" xfId="87"/>
    <cellStyle name="Normální 9" xfId="88"/>
    <cellStyle name="Poznámka" xfId="89"/>
    <cellStyle name="Percent" xfId="90"/>
    <cellStyle name="Propojená buňka" xfId="91"/>
    <cellStyle name="Followed Hyperlink" xfId="92"/>
    <cellStyle name="Správně" xfId="93"/>
    <cellStyle name="Text upozornění" xfId="94"/>
    <cellStyle name="Vstup" xfId="95"/>
    <cellStyle name="Výpočet" xfId="96"/>
    <cellStyle name="Výstup" xfId="97"/>
    <cellStyle name="Vysvětlující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zoomScalePageLayoutView="0" workbookViewId="0" topLeftCell="A5">
      <selection activeCell="E43" sqref="E43"/>
    </sheetView>
  </sheetViews>
  <sheetFormatPr defaultColWidth="9.125" defaultRowHeight="12.75"/>
  <cols>
    <col min="1" max="1" width="4.50390625" style="52" bestFit="1" customWidth="1"/>
    <col min="2" max="2" width="17.50390625" style="52" bestFit="1" customWidth="1"/>
    <col min="3" max="3" width="7.00390625" style="52" bestFit="1" customWidth="1"/>
    <col min="4" max="4" width="22.375" style="52" bestFit="1" customWidth="1"/>
    <col min="5" max="5" width="7.875" style="52" bestFit="1" customWidth="1"/>
    <col min="6" max="16384" width="9.125" style="52" customWidth="1"/>
  </cols>
  <sheetData>
    <row r="1" spans="1:5" ht="9.75">
      <c r="A1" s="52" t="s">
        <v>19</v>
      </c>
      <c r="B1" s="52" t="s">
        <v>12</v>
      </c>
      <c r="C1" s="52" t="s">
        <v>23</v>
      </c>
      <c r="D1" s="52" t="s">
        <v>13</v>
      </c>
      <c r="E1" s="52" t="s">
        <v>25</v>
      </c>
    </row>
    <row r="2" spans="1:9" ht="12.75">
      <c r="A2" s="56">
        <v>1</v>
      </c>
      <c r="B2" s="101" t="s">
        <v>59</v>
      </c>
      <c r="C2">
        <v>2006</v>
      </c>
      <c r="D2" t="s">
        <v>53</v>
      </c>
      <c r="E2" s="53">
        <v>5</v>
      </c>
      <c r="I2"/>
    </row>
    <row r="3" spans="1:9" ht="12.75">
      <c r="A3" s="56">
        <v>2</v>
      </c>
      <c r="B3" s="102" t="s">
        <v>60</v>
      </c>
      <c r="C3">
        <v>2007</v>
      </c>
      <c r="D3" t="s">
        <v>49</v>
      </c>
      <c r="E3" s="53">
        <v>7</v>
      </c>
      <c r="I3"/>
    </row>
    <row r="4" spans="1:9" ht="12.75">
      <c r="A4" s="56">
        <v>3</v>
      </c>
      <c r="B4" s="102" t="s">
        <v>61</v>
      </c>
      <c r="C4">
        <v>2006</v>
      </c>
      <c r="D4" t="s">
        <v>53</v>
      </c>
      <c r="E4" s="53">
        <v>9</v>
      </c>
      <c r="I4"/>
    </row>
    <row r="5" spans="1:9" ht="12.75">
      <c r="A5" s="56">
        <v>4</v>
      </c>
      <c r="B5" s="102" t="s">
        <v>62</v>
      </c>
      <c r="C5">
        <v>2007</v>
      </c>
      <c r="D5" t="s">
        <v>49</v>
      </c>
      <c r="E5" s="53">
        <v>12</v>
      </c>
      <c r="I5"/>
    </row>
    <row r="6" spans="1:9" ht="12.75">
      <c r="A6" s="56">
        <v>5</v>
      </c>
      <c r="B6" s="102" t="s">
        <v>63</v>
      </c>
      <c r="C6">
        <v>2005</v>
      </c>
      <c r="D6" t="s">
        <v>53</v>
      </c>
      <c r="E6" s="53">
        <v>16</v>
      </c>
      <c r="I6"/>
    </row>
    <row r="7" spans="1:9" ht="12.75">
      <c r="A7" s="56">
        <v>6</v>
      </c>
      <c r="B7" s="102" t="s">
        <v>64</v>
      </c>
      <c r="C7">
        <v>2005</v>
      </c>
      <c r="D7" t="s">
        <v>53</v>
      </c>
      <c r="E7" s="53">
        <v>18</v>
      </c>
      <c r="I7"/>
    </row>
    <row r="8" spans="1:9" ht="12.75">
      <c r="A8" s="56">
        <v>7</v>
      </c>
      <c r="B8" s="102" t="s">
        <v>86</v>
      </c>
      <c r="C8">
        <v>2006</v>
      </c>
      <c r="D8" t="s">
        <v>48</v>
      </c>
      <c r="E8" s="53">
        <v>19</v>
      </c>
      <c r="I8"/>
    </row>
    <row r="9" spans="1:9" ht="12.75">
      <c r="A9" s="56">
        <v>8</v>
      </c>
      <c r="B9" s="102" t="s">
        <v>65</v>
      </c>
      <c r="C9">
        <v>2006</v>
      </c>
      <c r="D9" t="s">
        <v>54</v>
      </c>
      <c r="E9" s="53">
        <v>21</v>
      </c>
      <c r="I9"/>
    </row>
    <row r="10" spans="1:9" ht="12.75">
      <c r="A10" s="56">
        <v>9</v>
      </c>
      <c r="B10" t="s">
        <v>66</v>
      </c>
      <c r="C10">
        <v>2006</v>
      </c>
      <c r="D10" t="s">
        <v>49</v>
      </c>
      <c r="E10" s="53">
        <v>22</v>
      </c>
      <c r="I10"/>
    </row>
    <row r="11" spans="1:9" ht="12.75">
      <c r="A11" s="56">
        <v>10</v>
      </c>
      <c r="B11" s="102" t="s">
        <v>67</v>
      </c>
      <c r="C11">
        <v>2006</v>
      </c>
      <c r="D11" t="s">
        <v>55</v>
      </c>
      <c r="E11" s="53">
        <v>22</v>
      </c>
      <c r="I11"/>
    </row>
    <row r="12" spans="1:9" ht="12.75">
      <c r="A12" s="56">
        <v>11</v>
      </c>
      <c r="B12" t="s">
        <v>68</v>
      </c>
      <c r="C12">
        <v>2006</v>
      </c>
      <c r="D12" t="s">
        <v>49</v>
      </c>
      <c r="E12" s="53">
        <v>25</v>
      </c>
      <c r="I12"/>
    </row>
    <row r="13" spans="1:9" ht="12.75">
      <c r="A13" s="56">
        <v>12</v>
      </c>
      <c r="B13" s="102" t="s">
        <v>69</v>
      </c>
      <c r="C13">
        <v>2007</v>
      </c>
      <c r="D13" t="s">
        <v>50</v>
      </c>
      <c r="E13" s="53">
        <v>29</v>
      </c>
      <c r="I13"/>
    </row>
    <row r="14" spans="1:9" ht="12.75">
      <c r="A14" s="56">
        <v>13</v>
      </c>
      <c r="B14" s="102" t="s">
        <v>70</v>
      </c>
      <c r="C14">
        <v>2005</v>
      </c>
      <c r="D14" t="s">
        <v>56</v>
      </c>
      <c r="E14" s="53">
        <v>999</v>
      </c>
      <c r="I14"/>
    </row>
    <row r="15" spans="1:9" ht="12.75">
      <c r="A15" s="56">
        <v>14</v>
      </c>
      <c r="B15" t="s">
        <v>71</v>
      </c>
      <c r="C15">
        <v>2005</v>
      </c>
      <c r="D15" t="s">
        <v>57</v>
      </c>
      <c r="E15" s="53">
        <v>999</v>
      </c>
      <c r="I15"/>
    </row>
    <row r="16" spans="1:9" ht="12.75">
      <c r="A16" s="56">
        <v>15</v>
      </c>
      <c r="B16" t="s">
        <v>72</v>
      </c>
      <c r="C16">
        <v>2006</v>
      </c>
      <c r="D16" t="s">
        <v>57</v>
      </c>
      <c r="E16" s="53">
        <v>999</v>
      </c>
      <c r="I16"/>
    </row>
    <row r="17" spans="1:9" ht="12.75">
      <c r="A17" s="56">
        <v>16</v>
      </c>
      <c r="B17" t="s">
        <v>73</v>
      </c>
      <c r="C17">
        <v>2007</v>
      </c>
      <c r="D17" t="s">
        <v>57</v>
      </c>
      <c r="E17" s="53">
        <v>999</v>
      </c>
      <c r="I17"/>
    </row>
    <row r="18" spans="1:9" ht="12.75">
      <c r="A18" s="56">
        <v>17</v>
      </c>
      <c r="B18" t="s">
        <v>74</v>
      </c>
      <c r="C18">
        <v>2006</v>
      </c>
      <c r="D18" t="s">
        <v>58</v>
      </c>
      <c r="E18" s="53">
        <v>999</v>
      </c>
      <c r="I18"/>
    </row>
    <row r="19" spans="1:9" ht="12.75">
      <c r="A19" s="56">
        <v>18</v>
      </c>
      <c r="B19" t="s">
        <v>75</v>
      </c>
      <c r="C19">
        <v>2005</v>
      </c>
      <c r="D19" t="s">
        <v>58</v>
      </c>
      <c r="E19" s="53">
        <v>999</v>
      </c>
      <c r="I19"/>
    </row>
    <row r="20" spans="1:9" ht="12.75">
      <c r="A20" s="56">
        <v>19</v>
      </c>
      <c r="B20" t="s">
        <v>76</v>
      </c>
      <c r="C20">
        <v>2006</v>
      </c>
      <c r="D20" t="s">
        <v>58</v>
      </c>
      <c r="E20" s="53">
        <v>999</v>
      </c>
      <c r="I20"/>
    </row>
    <row r="21" spans="1:5" ht="9.75">
      <c r="A21" s="56">
        <v>20</v>
      </c>
      <c r="D21" s="53"/>
      <c r="E21" s="53"/>
    </row>
    <row r="22" spans="1:5" ht="9.75">
      <c r="A22" s="56">
        <v>21</v>
      </c>
      <c r="D22" s="53"/>
      <c r="E22" s="53"/>
    </row>
    <row r="23" spans="1:5" ht="9.75">
      <c r="A23" s="56">
        <v>22</v>
      </c>
      <c r="D23" s="53"/>
      <c r="E23" s="53"/>
    </row>
    <row r="24" spans="1:5" ht="9.75">
      <c r="A24" s="56">
        <v>23</v>
      </c>
      <c r="D24" s="53"/>
      <c r="E24" s="53"/>
    </row>
    <row r="25" spans="1:5" ht="9.75">
      <c r="A25" s="56">
        <v>24</v>
      </c>
      <c r="D25" s="53"/>
      <c r="E25" s="53"/>
    </row>
    <row r="26" ht="9.75">
      <c r="A26" s="56">
        <v>25</v>
      </c>
    </row>
    <row r="27" spans="1:5" ht="9.75">
      <c r="A27" s="56">
        <v>26</v>
      </c>
      <c r="D27" s="53"/>
      <c r="E27" s="53"/>
    </row>
    <row r="28" spans="1:5" ht="9.75">
      <c r="A28" s="56">
        <v>27</v>
      </c>
      <c r="D28" s="53"/>
      <c r="E28" s="53"/>
    </row>
    <row r="29" spans="1:5" ht="9.75">
      <c r="A29" s="56">
        <v>28</v>
      </c>
      <c r="D29" s="53"/>
      <c r="E29" s="53"/>
    </row>
    <row r="30" spans="1:5" ht="9.75">
      <c r="A30" s="56">
        <v>29</v>
      </c>
      <c r="D30" s="53"/>
      <c r="E30" s="53"/>
    </row>
    <row r="31" spans="1:5" ht="9.75">
      <c r="A31" s="56">
        <v>30</v>
      </c>
      <c r="D31" s="53"/>
      <c r="E31" s="53"/>
    </row>
    <row r="32" spans="1:5" ht="9.75">
      <c r="A32" s="56">
        <v>31</v>
      </c>
      <c r="D32" s="53"/>
      <c r="E32" s="53"/>
    </row>
    <row r="33" ht="9.75">
      <c r="A33" s="56">
        <v>32</v>
      </c>
    </row>
    <row r="34" spans="1:5" ht="9.75">
      <c r="A34" s="56">
        <v>33</v>
      </c>
      <c r="B34" s="91"/>
      <c r="C34" s="91"/>
      <c r="D34" s="92"/>
      <c r="E34" s="92"/>
    </row>
    <row r="35" spans="1:5" ht="9.75">
      <c r="A35" s="56">
        <v>34</v>
      </c>
      <c r="B35" s="91"/>
      <c r="C35" s="91"/>
      <c r="D35" s="92"/>
      <c r="E35" s="92"/>
    </row>
    <row r="36" spans="1:5" ht="9.75">
      <c r="A36" s="56">
        <v>35</v>
      </c>
      <c r="B36" s="91"/>
      <c r="C36" s="91"/>
      <c r="D36" s="92"/>
      <c r="E36" s="92"/>
    </row>
    <row r="37" spans="1:5" ht="9.75">
      <c r="A37" s="56">
        <v>36</v>
      </c>
      <c r="B37" s="91"/>
      <c r="C37" s="91"/>
      <c r="D37" s="92"/>
      <c r="E37" s="92"/>
    </row>
    <row r="38" spans="1:5" ht="9.75">
      <c r="A38" s="56">
        <v>37</v>
      </c>
      <c r="B38" s="91"/>
      <c r="C38" s="91"/>
      <c r="D38" s="92"/>
      <c r="E38" s="92"/>
    </row>
    <row r="39" spans="1:5" ht="9.75">
      <c r="A39" s="56">
        <v>38</v>
      </c>
      <c r="B39" s="91"/>
      <c r="C39" s="91"/>
      <c r="D39" s="92"/>
      <c r="E39" s="92"/>
    </row>
    <row r="40" spans="1:5" ht="9.75">
      <c r="A40" s="56">
        <v>39</v>
      </c>
      <c r="B40" s="91"/>
      <c r="C40" s="91"/>
      <c r="D40" s="92"/>
      <c r="E40" s="92"/>
    </row>
    <row r="41" spans="1:5" ht="9.75">
      <c r="A41" s="56">
        <v>40</v>
      </c>
      <c r="B41" s="91"/>
      <c r="C41" s="91"/>
      <c r="D41" s="92"/>
      <c r="E41" s="92"/>
    </row>
    <row r="42" spans="1:10" ht="12.75">
      <c r="A42" s="56">
        <v>41</v>
      </c>
      <c r="B42" s="102" t="s">
        <v>77</v>
      </c>
      <c r="C42">
        <v>2007</v>
      </c>
      <c r="D42" t="s">
        <v>53</v>
      </c>
      <c r="E42" s="53">
        <v>1</v>
      </c>
      <c r="H42"/>
      <c r="I42"/>
      <c r="J42"/>
    </row>
    <row r="43" spans="1:10" ht="12.75">
      <c r="A43" s="56">
        <v>42</v>
      </c>
      <c r="B43" s="102" t="s">
        <v>78</v>
      </c>
      <c r="C43">
        <v>2008</v>
      </c>
      <c r="D43" t="s">
        <v>54</v>
      </c>
      <c r="E43" s="53">
        <v>5</v>
      </c>
      <c r="H43"/>
      <c r="I43"/>
      <c r="J43"/>
    </row>
    <row r="44" spans="1:10" ht="12.75">
      <c r="A44" s="56">
        <v>43</v>
      </c>
      <c r="B44" s="102" t="s">
        <v>79</v>
      </c>
      <c r="C44">
        <v>2005</v>
      </c>
      <c r="D44" t="s">
        <v>48</v>
      </c>
      <c r="E44" s="53">
        <v>8</v>
      </c>
      <c r="H44"/>
      <c r="I44"/>
      <c r="J44"/>
    </row>
    <row r="45" spans="1:10" ht="12.75">
      <c r="A45" s="56">
        <v>44</v>
      </c>
      <c r="B45" t="s">
        <v>80</v>
      </c>
      <c r="C45">
        <v>2006</v>
      </c>
      <c r="D45" t="s">
        <v>56</v>
      </c>
      <c r="E45" s="53">
        <v>10</v>
      </c>
      <c r="H45"/>
      <c r="I45"/>
      <c r="J45"/>
    </row>
    <row r="46" spans="1:10" ht="12.75">
      <c r="A46" s="56">
        <v>45</v>
      </c>
      <c r="B46" t="s">
        <v>81</v>
      </c>
      <c r="C46">
        <v>2007</v>
      </c>
      <c r="D46" t="s">
        <v>49</v>
      </c>
      <c r="E46" s="53">
        <v>999</v>
      </c>
      <c r="H46"/>
      <c r="I46"/>
      <c r="J46"/>
    </row>
    <row r="47" spans="1:10" ht="12.75">
      <c r="A47" s="56">
        <v>46</v>
      </c>
      <c r="B47" s="102" t="s">
        <v>82</v>
      </c>
      <c r="C47">
        <v>2008</v>
      </c>
      <c r="D47" t="s">
        <v>53</v>
      </c>
      <c r="E47" s="53">
        <v>999</v>
      </c>
      <c r="H47"/>
      <c r="I47"/>
      <c r="J47"/>
    </row>
    <row r="48" spans="1:10" ht="12.75">
      <c r="A48" s="56">
        <v>47</v>
      </c>
      <c r="B48" s="102" t="s">
        <v>83</v>
      </c>
      <c r="C48">
        <v>2008</v>
      </c>
      <c r="D48" t="s">
        <v>53</v>
      </c>
      <c r="E48" s="53">
        <v>999</v>
      </c>
      <c r="H48"/>
      <c r="I48"/>
      <c r="J48"/>
    </row>
    <row r="49" spans="1:10" ht="12.75">
      <c r="A49" s="56">
        <v>48</v>
      </c>
      <c r="B49" t="s">
        <v>84</v>
      </c>
      <c r="C49">
        <v>2007</v>
      </c>
      <c r="D49" t="s">
        <v>49</v>
      </c>
      <c r="E49" s="53">
        <v>999</v>
      </c>
      <c r="H49"/>
      <c r="I49"/>
      <c r="J49"/>
    </row>
    <row r="50" spans="1:10" ht="12.75">
      <c r="A50" s="56">
        <v>49</v>
      </c>
      <c r="B50" s="102" t="s">
        <v>85</v>
      </c>
      <c r="C50">
        <v>2009</v>
      </c>
      <c r="D50" t="s">
        <v>56</v>
      </c>
      <c r="E50" s="52">
        <v>999</v>
      </c>
      <c r="H50"/>
      <c r="I50"/>
      <c r="J50"/>
    </row>
    <row r="51" spans="1:5" ht="9.75">
      <c r="A51" s="56"/>
      <c r="D51" s="55"/>
      <c r="E51" s="53"/>
    </row>
    <row r="52" spans="1:4" ht="9.75">
      <c r="A52" s="56"/>
      <c r="D52" s="53"/>
    </row>
    <row r="53" spans="1:5" ht="9.75">
      <c r="A53" s="56"/>
      <c r="D53" s="55"/>
      <c r="E53" s="53"/>
    </row>
    <row r="54" spans="1:4" ht="9.75">
      <c r="A54" s="56"/>
      <c r="D54" s="53"/>
    </row>
    <row r="55" spans="1:5" ht="9.75">
      <c r="A55" s="56"/>
      <c r="D55" s="54"/>
      <c r="E55" s="53"/>
    </row>
    <row r="56" spans="1:5" ht="9.75">
      <c r="A56" s="56"/>
      <c r="E56" s="53"/>
    </row>
    <row r="57" spans="1:5" ht="9.75">
      <c r="A57" s="56"/>
      <c r="D57" s="55"/>
      <c r="E57" s="53"/>
    </row>
    <row r="58" spans="1:5" ht="9.75">
      <c r="A58" s="56"/>
      <c r="E58" s="53"/>
    </row>
    <row r="59" spans="1:5" ht="9.75">
      <c r="A59" s="56"/>
      <c r="D59" s="55"/>
      <c r="E59" s="53"/>
    </row>
    <row r="60" spans="1:5" ht="9.75">
      <c r="A60" s="56"/>
      <c r="D60" s="55"/>
      <c r="E60" s="53"/>
    </row>
    <row r="61" spans="1:5" ht="9.75">
      <c r="A61" s="56"/>
      <c r="D61" s="55"/>
      <c r="E61" s="53"/>
    </row>
    <row r="62" spans="1:5" ht="9.75">
      <c r="A62" s="56"/>
      <c r="D62" s="55"/>
      <c r="E62" s="53"/>
    </row>
    <row r="63" spans="1:5" ht="9.75">
      <c r="A63" s="56"/>
      <c r="D63" s="55"/>
      <c r="E63" s="53"/>
    </row>
    <row r="64" spans="1:5" ht="9.75">
      <c r="A64" s="56"/>
      <c r="D64" s="55"/>
      <c r="E64" s="53"/>
    </row>
    <row r="65" spans="1:5" ht="9.75">
      <c r="A65" s="56"/>
      <c r="D65" s="55"/>
      <c r="E65" s="53"/>
    </row>
    <row r="66" spans="1:5" ht="9.75">
      <c r="A66" s="56"/>
      <c r="D66" s="55"/>
      <c r="E66" s="53"/>
    </row>
    <row r="67" spans="1:5" ht="9.75">
      <c r="A67" s="56"/>
      <c r="D67" s="55"/>
      <c r="E67" s="53"/>
    </row>
    <row r="68" spans="1:5" ht="9.75">
      <c r="A68" s="56"/>
      <c r="D68" s="55"/>
      <c r="E68" s="53"/>
    </row>
    <row r="69" spans="1:5" ht="9.75">
      <c r="A69" s="56"/>
      <c r="D69" s="55"/>
      <c r="E69" s="53"/>
    </row>
    <row r="70" spans="1:5" ht="9.75">
      <c r="A70" s="56"/>
      <c r="D70" s="55"/>
      <c r="E70" s="53"/>
    </row>
    <row r="71" spans="1:5" ht="9.75">
      <c r="A71" s="56"/>
      <c r="D71" s="55"/>
      <c r="E71" s="53"/>
    </row>
    <row r="72" spans="1:5" ht="9.75">
      <c r="A72" s="56"/>
      <c r="D72" s="55"/>
      <c r="E72" s="53"/>
    </row>
    <row r="73" spans="1:5" ht="9.75">
      <c r="A73" s="56"/>
      <c r="D73" s="55"/>
      <c r="E73" s="53"/>
    </row>
    <row r="74" spans="1:5" ht="9.75">
      <c r="A74" s="56"/>
      <c r="D74" s="55"/>
      <c r="E74" s="53"/>
    </row>
    <row r="75" spans="1:5" ht="9.75">
      <c r="A75" s="56"/>
      <c r="D75" s="54"/>
      <c r="E75" s="53"/>
    </row>
    <row r="76" spans="1:5" ht="9.75">
      <c r="A76" s="56"/>
      <c r="D76" s="55"/>
      <c r="E76" s="53"/>
    </row>
    <row r="77" spans="1:5" ht="9.75">
      <c r="A77" s="56"/>
      <c r="D77" s="55"/>
      <c r="E77" s="53"/>
    </row>
    <row r="78" spans="1:5" ht="9.75">
      <c r="A78" s="56"/>
      <c r="D78" s="55"/>
      <c r="E78" s="53"/>
    </row>
    <row r="79" spans="1:5" ht="9.75">
      <c r="A79" s="56"/>
      <c r="D79" s="55"/>
      <c r="E79" s="53"/>
    </row>
    <row r="80" spans="1:5" ht="9.75">
      <c r="A80" s="56"/>
      <c r="D80" s="55"/>
      <c r="E80" s="53"/>
    </row>
    <row r="81" spans="1:5" ht="9.75">
      <c r="A81" s="56"/>
      <c r="B81" s="53"/>
      <c r="C81" s="53"/>
      <c r="D81" s="55"/>
      <c r="E81" s="53"/>
    </row>
    <row r="82" spans="1:5" ht="9.75">
      <c r="A82" s="56"/>
      <c r="D82" s="55"/>
      <c r="E82" s="53"/>
    </row>
    <row r="83" spans="1:5" ht="9.75">
      <c r="A83" s="56"/>
      <c r="D83" s="55"/>
      <c r="E83" s="53"/>
    </row>
    <row r="84" spans="1:5" ht="9.75">
      <c r="A84" s="56"/>
      <c r="D84" s="55"/>
      <c r="E84" s="53"/>
    </row>
    <row r="85" spans="1:5" ht="9.75">
      <c r="A85" s="56"/>
      <c r="D85" s="55"/>
      <c r="E85" s="53"/>
    </row>
    <row r="86" spans="1:5" ht="9.75">
      <c r="A86" s="56"/>
      <c r="D86" s="55"/>
      <c r="E86" s="53"/>
    </row>
    <row r="87" spans="1:5" ht="9.75">
      <c r="A87" s="56"/>
      <c r="D87" s="55"/>
      <c r="E87" s="53"/>
    </row>
    <row r="88" spans="1:5" ht="9.75">
      <c r="A88" s="56"/>
      <c r="D88" s="55"/>
      <c r="E88" s="53"/>
    </row>
    <row r="89" spans="1:5" ht="9.75">
      <c r="A89" s="56"/>
      <c r="D89" s="55"/>
      <c r="E89" s="53"/>
    </row>
    <row r="90" spans="1:5" ht="9.75">
      <c r="A90" s="56"/>
      <c r="D90" s="55"/>
      <c r="E90" s="53"/>
    </row>
    <row r="91" spans="1:5" ht="9.75">
      <c r="A91" s="56"/>
      <c r="D91" s="55"/>
      <c r="E91" s="53"/>
    </row>
    <row r="92" spans="1:5" ht="9.75">
      <c r="A92" s="56"/>
      <c r="D92" s="55"/>
      <c r="E92" s="53"/>
    </row>
    <row r="93" spans="1:5" ht="9.75">
      <c r="A93" s="56"/>
      <c r="D93" s="55"/>
      <c r="E93" s="53"/>
    </row>
    <row r="94" spans="1:5" ht="9.75">
      <c r="A94" s="56"/>
      <c r="D94" s="55"/>
      <c r="E94" s="53"/>
    </row>
    <row r="95" spans="1:5" ht="9.75">
      <c r="A95" s="56"/>
      <c r="D95" s="55"/>
      <c r="E95" s="53"/>
    </row>
    <row r="96" spans="1:5" ht="9.75">
      <c r="A96" s="56"/>
      <c r="D96" s="55"/>
      <c r="E96" s="53"/>
    </row>
    <row r="97" spans="1:5" ht="9.75">
      <c r="A97" s="56"/>
      <c r="D97" s="55"/>
      <c r="E97" s="53"/>
    </row>
    <row r="98" spans="1:5" ht="9.75">
      <c r="A98" s="56"/>
      <c r="D98" s="55"/>
      <c r="E98" s="53"/>
    </row>
    <row r="99" spans="1:5" ht="9.75">
      <c r="A99" s="56"/>
      <c r="D99" s="55"/>
      <c r="E99" s="53"/>
    </row>
    <row r="100" spans="1:5" ht="9.75">
      <c r="A100" s="56"/>
      <c r="D100" s="55"/>
      <c r="E100" s="53"/>
    </row>
    <row r="101" spans="1:5" ht="9.75">
      <c r="A101" s="56"/>
      <c r="D101" s="55"/>
      <c r="E101" s="53"/>
    </row>
    <row r="102" spans="1:5" ht="9.75">
      <c r="A102" s="56"/>
      <c r="D102" s="55"/>
      <c r="E102" s="53"/>
    </row>
    <row r="103" spans="1:5" ht="9.75">
      <c r="A103" s="56"/>
      <c r="D103" s="55"/>
      <c r="E103" s="53"/>
    </row>
    <row r="104" spans="1:5" ht="9.75">
      <c r="A104" s="56"/>
      <c r="D104" s="55"/>
      <c r="E104" s="53"/>
    </row>
    <row r="105" spans="1:5" ht="9.75">
      <c r="A105" s="56"/>
      <c r="D105" s="55"/>
      <c r="E105" s="53"/>
    </row>
    <row r="106" spans="1:5" ht="9.75">
      <c r="A106" s="56"/>
      <c r="D106" s="55"/>
      <c r="E106" s="53"/>
    </row>
    <row r="107" spans="1:5" ht="9.75">
      <c r="A107" s="56"/>
      <c r="D107" s="55"/>
      <c r="E107" s="53"/>
    </row>
    <row r="108" spans="1:5" ht="9.75">
      <c r="A108" s="56"/>
      <c r="D108" s="55"/>
      <c r="E108" s="53"/>
    </row>
    <row r="109" spans="1:5" ht="9.75">
      <c r="A109" s="56"/>
      <c r="D109" s="55"/>
      <c r="E109" s="53"/>
    </row>
    <row r="110" spans="1:5" ht="9.75">
      <c r="A110" s="56"/>
      <c r="D110" s="55"/>
      <c r="E110" s="53"/>
    </row>
    <row r="111" spans="1:5" ht="9.75">
      <c r="A111" s="56"/>
      <c r="D111" s="55"/>
      <c r="E111" s="53"/>
    </row>
    <row r="112" spans="1:5" ht="9.75">
      <c r="A112" s="56"/>
      <c r="D112" s="55"/>
      <c r="E112" s="53"/>
    </row>
    <row r="113" spans="1:5" ht="9.75">
      <c r="A113" s="56"/>
      <c r="D113" s="55"/>
      <c r="E113" s="53"/>
    </row>
    <row r="114" spans="1:5" ht="9.75">
      <c r="A114" s="56"/>
      <c r="D114" s="55"/>
      <c r="E114" s="53"/>
    </row>
    <row r="115" spans="1:5" ht="9.75">
      <c r="A115" s="56"/>
      <c r="D115" s="55"/>
      <c r="E115" s="53"/>
    </row>
    <row r="116" spans="1:5" ht="9.75">
      <c r="A116" s="56"/>
      <c r="D116" s="55"/>
      <c r="E116" s="53"/>
    </row>
    <row r="117" spans="1:5" ht="9.75">
      <c r="A117" s="56"/>
      <c r="D117" s="55"/>
      <c r="E117" s="53"/>
    </row>
    <row r="118" spans="1:5" ht="9.75">
      <c r="A118" s="56"/>
      <c r="D118" s="55"/>
      <c r="E118" s="53"/>
    </row>
    <row r="119" spans="1:5" ht="9.75">
      <c r="A119" s="56"/>
      <c r="D119" s="55"/>
      <c r="E119" s="53"/>
    </row>
    <row r="120" spans="1:5" ht="9.75">
      <c r="A120" s="56"/>
      <c r="D120" s="55"/>
      <c r="E120" s="53"/>
    </row>
    <row r="121" spans="1:5" ht="9.75">
      <c r="A121" s="56"/>
      <c r="D121" s="55"/>
      <c r="E121" s="53"/>
    </row>
    <row r="122" spans="1:5" ht="9.75">
      <c r="A122" s="56"/>
      <c r="D122" s="55"/>
      <c r="E122" s="53"/>
    </row>
    <row r="123" spans="1:5" ht="9.75">
      <c r="A123" s="56"/>
      <c r="D123" s="55"/>
      <c r="E123" s="53"/>
    </row>
    <row r="124" spans="1:5" ht="9.75">
      <c r="A124" s="56"/>
      <c r="D124" s="55"/>
      <c r="E124" s="53"/>
    </row>
    <row r="125" spans="1:5" ht="9.75">
      <c r="A125" s="56"/>
      <c r="D125" s="55"/>
      <c r="E125" s="53"/>
    </row>
    <row r="126" spans="1:5" ht="9.75">
      <c r="A126" s="56"/>
      <c r="D126" s="55"/>
      <c r="E126" s="53"/>
    </row>
    <row r="127" spans="1:5" ht="9.75">
      <c r="A127" s="56"/>
      <c r="D127" s="55"/>
      <c r="E127" s="53"/>
    </row>
    <row r="128" spans="1:5" ht="9.75">
      <c r="A128" s="56"/>
      <c r="D128" s="55"/>
      <c r="E128" s="53"/>
    </row>
    <row r="129" spans="1:5" ht="9.75">
      <c r="A129" s="56"/>
      <c r="D129" s="55"/>
      <c r="E129" s="53"/>
    </row>
    <row r="130" spans="1:5" ht="9.75">
      <c r="A130" s="56"/>
      <c r="D130" s="55"/>
      <c r="E130" s="53"/>
    </row>
    <row r="131" spans="1:5" ht="9.75">
      <c r="A131" s="56"/>
      <c r="D131" s="55"/>
      <c r="E131" s="53"/>
    </row>
    <row r="132" spans="1:5" ht="9.75">
      <c r="A132" s="56"/>
      <c r="D132" s="55"/>
      <c r="E132" s="53"/>
    </row>
    <row r="133" spans="1:5" ht="9.75">
      <c r="A133" s="56"/>
      <c r="D133" s="55"/>
      <c r="E133" s="53"/>
    </row>
    <row r="134" spans="1:5" ht="9.75">
      <c r="A134" s="56"/>
      <c r="D134" s="55"/>
      <c r="E134" s="53"/>
    </row>
    <row r="135" spans="1:5" ht="9.75">
      <c r="A135" s="56"/>
      <c r="D135" s="55"/>
      <c r="E135" s="53"/>
    </row>
    <row r="136" spans="1:5" ht="9.75">
      <c r="A136" s="56"/>
      <c r="D136" s="55"/>
      <c r="E136" s="53"/>
    </row>
    <row r="137" spans="1:5" ht="9.75">
      <c r="A137" s="56"/>
      <c r="D137" s="55"/>
      <c r="E137" s="53"/>
    </row>
    <row r="138" spans="1:5" ht="9.75">
      <c r="A138" s="56"/>
      <c r="D138" s="55"/>
      <c r="E138" s="53"/>
    </row>
    <row r="139" spans="1:5" ht="9.75">
      <c r="A139" s="56"/>
      <c r="D139" s="55"/>
      <c r="E139" s="53"/>
    </row>
    <row r="140" spans="1:5" ht="9.75">
      <c r="A140" s="56"/>
      <c r="B140" s="56"/>
      <c r="D140" s="55"/>
      <c r="E140" s="53"/>
    </row>
    <row r="141" spans="1:5" ht="9.75">
      <c r="A141" s="56"/>
      <c r="B141" s="56"/>
      <c r="D141" s="55"/>
      <c r="E141" s="53"/>
    </row>
    <row r="142" spans="1:5" ht="9.75">
      <c r="A142" s="56"/>
      <c r="B142" s="56"/>
      <c r="D142" s="55"/>
      <c r="E142" s="53"/>
    </row>
    <row r="143" spans="1:5" ht="9.75">
      <c r="A143" s="56"/>
      <c r="B143" s="56"/>
      <c r="D143" s="55"/>
      <c r="E143" s="53"/>
    </row>
    <row r="144" spans="1:5" ht="9.75">
      <c r="A144" s="56"/>
      <c r="B144" s="56"/>
      <c r="D144" s="55"/>
      <c r="E144" s="53"/>
    </row>
    <row r="145" spans="1:5" ht="9.75">
      <c r="A145" s="56"/>
      <c r="B145" s="56"/>
      <c r="D145" s="55"/>
      <c r="E145" s="53"/>
    </row>
    <row r="146" spans="1:5" ht="9.75">
      <c r="A146" s="56"/>
      <c r="B146" s="56"/>
      <c r="C146" s="53"/>
      <c r="D146" s="54"/>
      <c r="E146" s="53"/>
    </row>
    <row r="147" spans="1:5" ht="9.75">
      <c r="A147" s="56"/>
      <c r="B147" s="56"/>
      <c r="C147" s="53"/>
      <c r="D147" s="54"/>
      <c r="E147" s="53"/>
    </row>
    <row r="148" spans="1:5" ht="9.75">
      <c r="A148" s="56"/>
      <c r="B148" s="56"/>
      <c r="D148" s="55"/>
      <c r="E148" s="53"/>
    </row>
    <row r="149" spans="1:5" ht="9.75">
      <c r="A149" s="56"/>
      <c r="B149" s="56"/>
      <c r="C149" s="53"/>
      <c r="D149" s="55"/>
      <c r="E149" s="53"/>
    </row>
    <row r="150" spans="1:5" ht="9.75">
      <c r="A150" s="56"/>
      <c r="B150" s="56"/>
      <c r="E150" s="53"/>
    </row>
    <row r="151" spans="1:5" ht="9.75">
      <c r="A151" s="56"/>
      <c r="B151" s="56"/>
      <c r="E151" s="53"/>
    </row>
    <row r="152" spans="1:5" ht="9.75">
      <c r="A152" s="56"/>
      <c r="B152" s="56"/>
      <c r="E152" s="53"/>
    </row>
    <row r="153" spans="1:5" ht="9.75">
      <c r="A153" s="56"/>
      <c r="B153" s="56"/>
      <c r="E153" s="53"/>
    </row>
    <row r="154" spans="1:5" ht="9.75">
      <c r="A154" s="56"/>
      <c r="B154" s="56"/>
      <c r="E154" s="53"/>
    </row>
    <row r="155" spans="1:5" ht="9.75">
      <c r="A155" s="56"/>
      <c r="B155" s="56"/>
      <c r="E155" s="53"/>
    </row>
    <row r="156" spans="1:5" ht="9.75">
      <c r="A156" s="56"/>
      <c r="B156" s="56"/>
      <c r="E156" s="53"/>
    </row>
    <row r="157" spans="1:5" ht="9.75">
      <c r="A157" s="56"/>
      <c r="B157" s="56"/>
      <c r="E157" s="53"/>
    </row>
    <row r="158" spans="1:5" ht="9.75">
      <c r="A158" s="56"/>
      <c r="B158" s="56"/>
      <c r="E158" s="53"/>
    </row>
    <row r="159" spans="1:5" ht="9.75">
      <c r="A159" s="56"/>
      <c r="B159" s="56"/>
      <c r="E159" s="53"/>
    </row>
    <row r="160" spans="1:5" ht="9.75">
      <c r="A160" s="56"/>
      <c r="B160" s="56"/>
      <c r="E160" s="53"/>
    </row>
    <row r="161" spans="1:5" ht="9.75">
      <c r="A161" s="56"/>
      <c r="B161" s="56"/>
      <c r="E161" s="53"/>
    </row>
    <row r="162" spans="1:5" ht="9.75">
      <c r="A162" s="56"/>
      <c r="B162" s="56"/>
      <c r="E162" s="53"/>
    </row>
    <row r="163" spans="1:5" ht="9.75">
      <c r="A163" s="56"/>
      <c r="B163" s="56"/>
      <c r="E163" s="53"/>
    </row>
    <row r="164" spans="1:5" ht="9.75">
      <c r="A164" s="56"/>
      <c r="B164" s="56"/>
      <c r="E164" s="53"/>
    </row>
    <row r="165" spans="1:5" ht="9.75">
      <c r="A165" s="56"/>
      <c r="B165" s="56"/>
      <c r="E165" s="53"/>
    </row>
    <row r="166" spans="1:5" ht="9.75">
      <c r="A166" s="56"/>
      <c r="B166" s="56"/>
      <c r="E166" s="53"/>
    </row>
    <row r="167" spans="1:5" ht="9.75">
      <c r="A167" s="56"/>
      <c r="B167" s="56"/>
      <c r="E167" s="53"/>
    </row>
    <row r="168" spans="1:5" ht="9.75">
      <c r="A168" s="56"/>
      <c r="B168" s="56"/>
      <c r="E168" s="53"/>
    </row>
    <row r="169" spans="1:5" ht="9.75">
      <c r="A169" s="56"/>
      <c r="B169" s="56"/>
      <c r="E169" s="53"/>
    </row>
    <row r="170" spans="1:5" ht="9.75">
      <c r="A170" s="56"/>
      <c r="B170" s="56"/>
      <c r="E170" s="53"/>
    </row>
    <row r="171" spans="1:5" ht="9.75">
      <c r="A171" s="56"/>
      <c r="B171" s="56"/>
      <c r="E171" s="53"/>
    </row>
    <row r="172" spans="1:5" ht="9.75">
      <c r="A172" s="56"/>
      <c r="B172" s="56"/>
      <c r="E172" s="53"/>
    </row>
    <row r="173" spans="1:5" ht="9.75">
      <c r="A173" s="56"/>
      <c r="B173" s="56"/>
      <c r="E173" s="53"/>
    </row>
    <row r="174" spans="1:5" ht="9.75">
      <c r="A174" s="56"/>
      <c r="B174" s="56"/>
      <c r="E174" s="53"/>
    </row>
    <row r="175" spans="1:5" ht="9.75">
      <c r="A175" s="56"/>
      <c r="B175" s="56"/>
      <c r="E175" s="53"/>
    </row>
    <row r="176" spans="1:5" ht="9.75">
      <c r="A176" s="56"/>
      <c r="B176" s="56"/>
      <c r="E176" s="53"/>
    </row>
    <row r="177" spans="1:5" ht="9.75">
      <c r="A177" s="56"/>
      <c r="B177" s="56"/>
      <c r="E177" s="53"/>
    </row>
    <row r="178" spans="1:5" ht="9.75">
      <c r="A178" s="56"/>
      <c r="B178" s="56"/>
      <c r="E178" s="53"/>
    </row>
    <row r="179" spans="1:5" ht="9.75">
      <c r="A179" s="56"/>
      <c r="B179" s="56"/>
      <c r="E179" s="53"/>
    </row>
    <row r="180" spans="1:5" ht="9.75">
      <c r="A180" s="56"/>
      <c r="B180" s="56"/>
      <c r="E180" s="53"/>
    </row>
    <row r="181" spans="1:5" ht="9.75">
      <c r="A181" s="56"/>
      <c r="B181" s="56"/>
      <c r="E181" s="53"/>
    </row>
    <row r="182" spans="1:5" ht="9.75">
      <c r="A182" s="56"/>
      <c r="B182" s="56"/>
      <c r="E182" s="53"/>
    </row>
    <row r="183" spans="1:5" ht="9.75">
      <c r="A183" s="56"/>
      <c r="B183" s="56"/>
      <c r="E183" s="53"/>
    </row>
    <row r="184" spans="1:5" ht="9.75">
      <c r="A184" s="56"/>
      <c r="B184" s="56"/>
      <c r="E184" s="53"/>
    </row>
    <row r="185" spans="1:5" ht="9.75">
      <c r="A185" s="56"/>
      <c r="B185" s="56"/>
      <c r="E185" s="53"/>
    </row>
    <row r="186" spans="1:5" ht="9.75">
      <c r="A186" s="56"/>
      <c r="B186" s="56"/>
      <c r="E186" s="53"/>
    </row>
    <row r="187" spans="1:5" ht="9.75">
      <c r="A187" s="56"/>
      <c r="B187" s="56"/>
      <c r="E187" s="53"/>
    </row>
    <row r="188" spans="1:5" ht="9.75">
      <c r="A188" s="56"/>
      <c r="B188" s="56"/>
      <c r="E188" s="53"/>
    </row>
    <row r="189" spans="1:5" ht="9.75">
      <c r="A189" s="56"/>
      <c r="B189" s="56"/>
      <c r="E189" s="53"/>
    </row>
    <row r="190" spans="1:5" ht="9.75">
      <c r="A190" s="56"/>
      <c r="B190" s="56"/>
      <c r="E190" s="53"/>
    </row>
    <row r="191" spans="1:5" ht="9.75">
      <c r="A191" s="56"/>
      <c r="B191" s="56"/>
      <c r="E191" s="53"/>
    </row>
    <row r="192" spans="1:5" ht="9.75">
      <c r="A192" s="56"/>
      <c r="B192" s="56"/>
      <c r="E192" s="53"/>
    </row>
    <row r="193" spans="1:5" ht="9.75">
      <c r="A193" s="56"/>
      <c r="B193" s="56"/>
      <c r="E193" s="53"/>
    </row>
    <row r="194" spans="1:5" ht="9.75">
      <c r="A194" s="56"/>
      <c r="B194" s="56"/>
      <c r="E194" s="53"/>
    </row>
    <row r="195" spans="1:5" ht="9.75">
      <c r="A195" s="56"/>
      <c r="B195" s="56"/>
      <c r="E195" s="53"/>
    </row>
    <row r="196" spans="1:5" ht="9.75">
      <c r="A196" s="56"/>
      <c r="B196" s="56"/>
      <c r="E196" s="53"/>
    </row>
    <row r="197" spans="1:5" ht="9.75">
      <c r="A197" s="56"/>
      <c r="B197" s="56"/>
      <c r="E197" s="53"/>
    </row>
    <row r="198" spans="1:5" ht="9.75">
      <c r="A198" s="56"/>
      <c r="B198" s="56"/>
      <c r="E198" s="53"/>
    </row>
    <row r="199" spans="1:5" ht="9.75">
      <c r="A199" s="56"/>
      <c r="B199" s="56"/>
      <c r="E199" s="53"/>
    </row>
    <row r="200" spans="1:5" ht="9.75">
      <c r="A200" s="56"/>
      <c r="B200" s="56"/>
      <c r="E200" s="53"/>
    </row>
    <row r="201" spans="1:5" ht="9.75">
      <c r="A201" s="56"/>
      <c r="B201" s="56"/>
      <c r="E201" s="53"/>
    </row>
    <row r="202" spans="1:5" ht="9.75">
      <c r="A202" s="56"/>
      <c r="B202" s="56"/>
      <c r="E202" s="53"/>
    </row>
    <row r="203" spans="1:5" ht="9.75">
      <c r="A203" s="56"/>
      <c r="B203" s="56"/>
      <c r="E203" s="53"/>
    </row>
    <row r="204" spans="1:5" ht="9.75">
      <c r="A204" s="56"/>
      <c r="B204" s="56"/>
      <c r="E204" s="53"/>
    </row>
    <row r="205" spans="1:5" ht="9.75">
      <c r="A205" s="56"/>
      <c r="B205" s="56"/>
      <c r="E205" s="53"/>
    </row>
    <row r="206" spans="1:5" ht="9.75">
      <c r="A206" s="56"/>
      <c r="B206" s="56"/>
      <c r="E206" s="53"/>
    </row>
    <row r="207" spans="1:5" ht="9.75">
      <c r="A207" s="56"/>
      <c r="B207" s="56"/>
      <c r="E207" s="53"/>
    </row>
    <row r="208" spans="1:5" ht="9.75">
      <c r="A208" s="56"/>
      <c r="B208" s="56"/>
      <c r="E208" s="53"/>
    </row>
    <row r="209" spans="1:5" ht="9.75">
      <c r="A209" s="56"/>
      <c r="B209" s="56"/>
      <c r="E209" s="53"/>
    </row>
    <row r="210" spans="1:5" ht="9.75">
      <c r="A210" s="56"/>
      <c r="B210" s="56"/>
      <c r="E210" s="53"/>
    </row>
    <row r="211" spans="1:5" ht="9.75">
      <c r="A211" s="56"/>
      <c r="B211" s="56"/>
      <c r="E211" s="53"/>
    </row>
    <row r="212" spans="1:5" ht="9.75">
      <c r="A212" s="56"/>
      <c r="B212" s="56"/>
      <c r="E212" s="53"/>
    </row>
    <row r="213" spans="1:5" ht="9.75">
      <c r="A213" s="56"/>
      <c r="B213" s="56"/>
      <c r="E213" s="53"/>
    </row>
    <row r="214" spans="1:5" ht="9.75">
      <c r="A214" s="56"/>
      <c r="B214" s="56"/>
      <c r="E214" s="53"/>
    </row>
    <row r="215" spans="1:5" ht="9.75">
      <c r="A215" s="56"/>
      <c r="B215" s="56"/>
      <c r="E215" s="53"/>
    </row>
    <row r="216" spans="1:5" ht="9.75">
      <c r="A216" s="56"/>
      <c r="B216" s="56"/>
      <c r="E216" s="53"/>
    </row>
    <row r="217" spans="1:5" ht="9.75">
      <c r="A217" s="56"/>
      <c r="B217" s="56"/>
      <c r="E217" s="53"/>
    </row>
    <row r="218" spans="1:5" ht="9.75">
      <c r="A218" s="56"/>
      <c r="B218" s="56"/>
      <c r="E218" s="53"/>
    </row>
    <row r="219" spans="1:5" ht="9.75">
      <c r="A219" s="56"/>
      <c r="B219" s="56"/>
      <c r="E219" s="53"/>
    </row>
    <row r="220" spans="1:5" ht="9.75">
      <c r="A220" s="56"/>
      <c r="B220" s="56"/>
      <c r="E220" s="53"/>
    </row>
    <row r="221" spans="1:5" ht="9.75">
      <c r="A221" s="56"/>
      <c r="B221" s="56"/>
      <c r="E221" s="53"/>
    </row>
    <row r="222" spans="1:5" ht="9.75">
      <c r="A222" s="56"/>
      <c r="B222" s="56"/>
      <c r="E222" s="53"/>
    </row>
    <row r="223" spans="1:5" ht="9.75">
      <c r="A223" s="56"/>
      <c r="B223" s="56"/>
      <c r="E223" s="53"/>
    </row>
    <row r="224" spans="1:5" ht="9.75">
      <c r="A224" s="56"/>
      <c r="B224" s="56"/>
      <c r="E224" s="53"/>
    </row>
    <row r="225" spans="1:5" ht="9.75">
      <c r="A225" s="56"/>
      <c r="B225" s="56"/>
      <c r="E225" s="53"/>
    </row>
    <row r="226" spans="1:5" ht="9.75">
      <c r="A226" s="56"/>
      <c r="B226" s="56"/>
      <c r="E226" s="53"/>
    </row>
    <row r="227" spans="1:5" ht="9.75">
      <c r="A227" s="56"/>
      <c r="B227" s="56"/>
      <c r="E227" s="53"/>
    </row>
    <row r="228" spans="1:5" ht="9.75">
      <c r="A228" s="56"/>
      <c r="B228" s="56"/>
      <c r="E228" s="53"/>
    </row>
    <row r="229" spans="1:5" ht="9.75">
      <c r="A229" s="56"/>
      <c r="B229" s="56"/>
      <c r="E229" s="53"/>
    </row>
    <row r="230" spans="1:5" ht="9.75">
      <c r="A230" s="56"/>
      <c r="B230" s="56"/>
      <c r="E230" s="53"/>
    </row>
    <row r="231" spans="1:5" ht="9.75">
      <c r="A231" s="56"/>
      <c r="B231" s="56"/>
      <c r="E231" s="53"/>
    </row>
    <row r="232" spans="1:5" ht="9.75">
      <c r="A232" s="56"/>
      <c r="B232" s="56"/>
      <c r="E232" s="53"/>
    </row>
    <row r="233" spans="1:5" ht="9.75">
      <c r="A233" s="56"/>
      <c r="B233" s="56"/>
      <c r="E233" s="53"/>
    </row>
    <row r="234" spans="1:5" ht="9.75">
      <c r="A234" s="56"/>
      <c r="B234" s="56"/>
      <c r="E234" s="53"/>
    </row>
    <row r="235" spans="1:5" ht="9.75">
      <c r="A235" s="56"/>
      <c r="B235" s="56"/>
      <c r="E235" s="53"/>
    </row>
    <row r="236" spans="1:5" ht="9.75">
      <c r="A236" s="56"/>
      <c r="B236" s="56"/>
      <c r="E236" s="53"/>
    </row>
    <row r="237" spans="1:5" ht="9.75">
      <c r="A237" s="56"/>
      <c r="B237" s="56"/>
      <c r="E237" s="53"/>
    </row>
    <row r="238" spans="1:5" ht="9.75">
      <c r="A238" s="56"/>
      <c r="B238" s="56"/>
      <c r="E238" s="53"/>
    </row>
    <row r="239" spans="1:5" ht="9.75">
      <c r="A239" s="56"/>
      <c r="B239" s="56"/>
      <c r="E239" s="53"/>
    </row>
    <row r="240" spans="1:5" ht="9.75">
      <c r="A240" s="56"/>
      <c r="B240" s="56"/>
      <c r="E240" s="53"/>
    </row>
    <row r="241" spans="1:5" ht="9.75">
      <c r="A241" s="56"/>
      <c r="B241" s="56"/>
      <c r="E241" s="53"/>
    </row>
    <row r="242" spans="1:5" ht="9.75">
      <c r="A242" s="56"/>
      <c r="B242" s="56"/>
      <c r="E242" s="53"/>
    </row>
    <row r="243" spans="1:5" ht="9.75">
      <c r="A243" s="56"/>
      <c r="B243" s="56"/>
      <c r="E243" s="53"/>
    </row>
    <row r="244" spans="1:5" ht="9.75">
      <c r="A244" s="56"/>
      <c r="B244" s="56"/>
      <c r="E244" s="53"/>
    </row>
    <row r="245" spans="1:5" ht="9.75">
      <c r="A245" s="56"/>
      <c r="B245" s="56"/>
      <c r="E245" s="53"/>
    </row>
    <row r="246" spans="1:5" ht="9.75">
      <c r="A246" s="56"/>
      <c r="B246" s="56"/>
      <c r="E246" s="53"/>
    </row>
    <row r="247" spans="1:5" ht="9.75">
      <c r="A247" s="56"/>
      <c r="B247" s="56"/>
      <c r="E247" s="53"/>
    </row>
    <row r="248" spans="1:5" ht="9.75">
      <c r="A248" s="56"/>
      <c r="B248" s="56"/>
      <c r="E248" s="53"/>
    </row>
    <row r="249" spans="1:5" ht="9.75">
      <c r="A249" s="56"/>
      <c r="B249" s="56"/>
      <c r="E249" s="53"/>
    </row>
    <row r="250" spans="1:5" ht="9.75">
      <c r="A250" s="56"/>
      <c r="B250" s="56"/>
      <c r="E250" s="53"/>
    </row>
    <row r="251" spans="1:5" ht="9.75">
      <c r="A251" s="56"/>
      <c r="B251" s="56"/>
      <c r="E251" s="53"/>
    </row>
    <row r="252" spans="1:5" ht="9.75">
      <c r="A252" s="56"/>
      <c r="B252" s="56"/>
      <c r="E252" s="53"/>
    </row>
    <row r="253" spans="1:5" ht="9.75">
      <c r="A253" s="56"/>
      <c r="B253" s="56"/>
      <c r="E253" s="53"/>
    </row>
    <row r="254" spans="1:5" ht="9.75">
      <c r="A254" s="56"/>
      <c r="B254" s="56"/>
      <c r="E254" s="53"/>
    </row>
    <row r="255" spans="1:5" ht="9.75">
      <c r="A255" s="56"/>
      <c r="B255" s="56"/>
      <c r="E255" s="53"/>
    </row>
    <row r="256" spans="1:5" ht="9.75">
      <c r="A256" s="56"/>
      <c r="B256" s="56"/>
      <c r="E256" s="53"/>
    </row>
    <row r="257" spans="1:5" ht="9.75">
      <c r="A257" s="56"/>
      <c r="B257" s="56"/>
      <c r="E257" s="53"/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pane ySplit="1" topLeftCell="A2" activePane="bottomLeft" state="frozen"/>
      <selection pane="topLeft" activeCell="H19" sqref="H19"/>
      <selection pane="bottomLeft" activeCell="Q17" sqref="Q17"/>
    </sheetView>
  </sheetViews>
  <sheetFormatPr defaultColWidth="9.125" defaultRowHeight="12.75"/>
  <cols>
    <col min="1" max="1" width="19.50390625" style="2" customWidth="1"/>
    <col min="2" max="2" width="4.50390625" style="2" bestFit="1" customWidth="1"/>
    <col min="3" max="3" width="16.00390625" style="2" bestFit="1" customWidth="1"/>
    <col min="4" max="4" width="7.00390625" style="2" bestFit="1" customWidth="1"/>
    <col min="5" max="5" width="4.50390625" style="2" bestFit="1" customWidth="1"/>
    <col min="6" max="6" width="16.00390625" style="2" bestFit="1" customWidth="1"/>
    <col min="7" max="7" width="7.00390625" style="2" bestFit="1" customWidth="1"/>
    <col min="8" max="8" width="4.875" style="2" bestFit="1" customWidth="1"/>
    <col min="9" max="9" width="16.00390625" style="2" bestFit="1" customWidth="1"/>
    <col min="10" max="10" width="7.00390625" style="2" bestFit="1" customWidth="1"/>
    <col min="11" max="11" width="4.875" style="2" bestFit="1" customWidth="1"/>
    <col min="12" max="12" width="14.50390625" style="2" bestFit="1" customWidth="1"/>
    <col min="13" max="13" width="7.00390625" style="2" bestFit="1" customWidth="1"/>
    <col min="14" max="15" width="3.875" style="2" customWidth="1"/>
    <col min="16" max="20" width="4.375" style="2" customWidth="1"/>
    <col min="21" max="21" width="4.50390625" style="2" bestFit="1" customWidth="1"/>
    <col min="22" max="22" width="12.00390625" style="2" customWidth="1"/>
    <col min="23" max="23" width="4.125" style="2" customWidth="1"/>
    <col min="24" max="24" width="11.00390625" style="2" customWidth="1"/>
    <col min="25" max="25" width="3.125" style="2" customWidth="1"/>
    <col min="26" max="26" width="21.625" style="2" bestFit="1" customWidth="1"/>
    <col min="27" max="27" width="2.625" style="2" customWidth="1"/>
    <col min="28" max="32" width="4.125" style="2" customWidth="1"/>
    <col min="33" max="16384" width="9.125" style="2" customWidth="1"/>
  </cols>
  <sheetData>
    <row r="1" spans="2:21" ht="12.75">
      <c r="B1" s="1" t="s">
        <v>0</v>
      </c>
      <c r="C1" s="1" t="s">
        <v>1</v>
      </c>
      <c r="D1" s="1" t="s">
        <v>2</v>
      </c>
      <c r="E1" s="1" t="s">
        <v>0</v>
      </c>
      <c r="F1" s="1" t="s">
        <v>3</v>
      </c>
      <c r="G1" s="1" t="s">
        <v>2</v>
      </c>
      <c r="H1" s="1" t="s">
        <v>0</v>
      </c>
      <c r="I1" s="1" t="s">
        <v>14</v>
      </c>
      <c r="J1" s="1" t="s">
        <v>2</v>
      </c>
      <c r="K1" s="1" t="s">
        <v>0</v>
      </c>
      <c r="L1" s="1" t="s">
        <v>15</v>
      </c>
      <c r="M1" s="1" t="s">
        <v>2</v>
      </c>
      <c r="N1" s="86" t="s">
        <v>4</v>
      </c>
      <c r="O1" s="86" t="s">
        <v>5</v>
      </c>
      <c r="P1" s="86" t="s">
        <v>6</v>
      </c>
      <c r="Q1" s="86" t="s">
        <v>7</v>
      </c>
      <c r="R1" s="86" t="s">
        <v>8</v>
      </c>
      <c r="S1" s="1" t="s">
        <v>9</v>
      </c>
      <c r="T1" s="1" t="s">
        <v>10</v>
      </c>
      <c r="U1" s="1" t="s">
        <v>11</v>
      </c>
    </row>
    <row r="2" spans="1:32" ht="12.75">
      <c r="A2" s="2" t="e">
        <f>CONCATENATE("Čtyřhra ",#REF!," - 1.kolo")</f>
        <v>#REF!</v>
      </c>
      <c r="B2" s="2">
        <f>'čt. žáci'!$B$3</f>
        <v>1</v>
      </c>
      <c r="C2" s="22" t="str">
        <f>IF($B2=0,"bye",VLOOKUP($B2,seznam!$A$2:$D$269,2))</f>
        <v>Nespěšný Hynek</v>
      </c>
      <c r="D2" s="2" t="str">
        <f>IF($B2=0,"",VLOOKUP($B2,seznam!$A$2:$D$269,4))</f>
        <v>MS Brno</v>
      </c>
      <c r="E2" s="2">
        <f>'čt. žáci'!$B$4</f>
        <v>3</v>
      </c>
      <c r="F2" s="22" t="str">
        <f>IF($E2="","bye",VLOOKUP($E2,seznam!$A$2:$D$269,2))</f>
        <v>Drápal Mětoděj</v>
      </c>
      <c r="G2" s="2" t="str">
        <f>IF($E2="","",VLOOKUP($E2,seznam!$A$2:$D$269,4))</f>
        <v>MS Brno</v>
      </c>
      <c r="H2" s="2">
        <f>'čt. žáci'!$B$5</f>
        <v>0</v>
      </c>
      <c r="I2" s="23" t="str">
        <f>IF($H2=0,"bye",VLOOKUP($H2,seznam!$A$2:$D$269,2))</f>
        <v>bye</v>
      </c>
      <c r="J2" s="2">
        <f>IF($H2=0,"",VLOOKUP($H2,seznam!$A$2:$D$269,4))</f>
      </c>
      <c r="L2" s="23" t="str">
        <f>IF($K2="","bye",VLOOKUP($K2,seznam!$A$2:$D$269,2))</f>
        <v>bye</v>
      </c>
      <c r="M2" s="2">
        <f>IF($K2="","",VLOOKUP($K2,seznam!$A$2:$D$269,4))</f>
      </c>
      <c r="N2" s="90" t="s">
        <v>95</v>
      </c>
      <c r="O2" s="90" t="s">
        <v>95</v>
      </c>
      <c r="P2" s="90" t="s">
        <v>95</v>
      </c>
      <c r="Q2" s="90"/>
      <c r="R2" s="90"/>
      <c r="S2" s="2">
        <v>3</v>
      </c>
      <c r="T2" s="2">
        <f>COUNTIF(AB2:AF2,"&lt;0")</f>
        <v>0</v>
      </c>
      <c r="U2" s="2">
        <f aca="true" t="shared" si="0" ref="U2:U9">IF(S2=T2,0,IF(S2&gt;T2,B2,H2))</f>
        <v>1</v>
      </c>
      <c r="V2" s="2" t="str">
        <f>IF($U2=0,"",VLOOKUP($U2,seznam!$A$2:$D$269,2))</f>
        <v>Nespěšný Hynek</v>
      </c>
      <c r="W2" s="2">
        <f aca="true" t="shared" si="1" ref="W2:W9">IF(S2=T2,0,IF(S2&gt;T2,E2,K2))</f>
        <v>3</v>
      </c>
      <c r="X2" s="2" t="str">
        <f>IF($W2=0,"",VLOOKUP($W2,seznam!$A$2:$D$269,2))</f>
        <v>Drápal Mětoděj</v>
      </c>
      <c r="Y2" s="2" t="str">
        <f>IF(S2=T2,"",IF(S2&gt;T2,CONCATENATE(S2,":",T2," (",N2,",",O2,",",P2,IF(SUM(S2:T2)&gt;3,",",""),Q2,IF(SUM(S2:T2)&gt;4,",",""),R2,")"),CONCATENATE(T2,":",S2," (",-N2,",",-O2,",",-P2,IF(SUM(S2:T2)&gt;3,",",""),IF(SUM(S2:T2)&gt;3,-Q2,""),IF(SUM(S2:T2)&gt;4,",",""),IF(SUM(S2:T2)&gt;4,-R2,""),")")))</f>
        <v>3:0 (0,0,0)</v>
      </c>
      <c r="Z2" s="2" t="str">
        <f>IF(MAX(S2:T2)=3,Y2,"")</f>
        <v>3:0 (0,0,0)</v>
      </c>
      <c r="AB2" s="25">
        <f aca="true" t="shared" si="2" ref="AB2:AF3">IF(N2="",0,IF(MID(N2,1,1)="-",-1,1))</f>
        <v>1</v>
      </c>
      <c r="AC2" s="25">
        <f t="shared" si="2"/>
        <v>1</v>
      </c>
      <c r="AD2" s="25">
        <f t="shared" si="2"/>
        <v>1</v>
      </c>
      <c r="AE2" s="25">
        <f t="shared" si="2"/>
        <v>0</v>
      </c>
      <c r="AF2" s="25">
        <f t="shared" si="2"/>
        <v>0</v>
      </c>
    </row>
    <row r="3" spans="1:32" ht="12.75">
      <c r="A3" s="2" t="e">
        <f>CONCATENATE("Čtyřhra ",#REF!," - 1.kolo")</f>
        <v>#REF!</v>
      </c>
      <c r="B3" s="2">
        <f>'čt. žáci'!$B$7</f>
        <v>0</v>
      </c>
      <c r="C3" s="22" t="str">
        <f>IF($B3=0,"bye",VLOOKUP($B3,seznam!$A$2:$D$269,2))</f>
        <v>bye</v>
      </c>
      <c r="D3" s="2">
        <f>IF($B3=0,"",VLOOKUP($B3,seznam!$A$2:$D$269,4))</f>
      </c>
      <c r="F3" s="22" t="str">
        <f>IF($E3="","bye",VLOOKUP($E3,seznam!$A$2:$D$269,2))</f>
        <v>bye</v>
      </c>
      <c r="G3" s="2">
        <f>IF($E3="","",VLOOKUP($E3,seznam!$A$2:$D$269,4))</f>
      </c>
      <c r="H3" s="2">
        <f>'čt. žáci'!$B$9</f>
        <v>0</v>
      </c>
      <c r="I3" s="23" t="str">
        <f>IF($H3=0,"bye",VLOOKUP($H3,seznam!$A$2:$D$269,2))</f>
        <v>bye</v>
      </c>
      <c r="J3" s="2">
        <f>IF($H3=0,"",VLOOKUP($H3,seznam!$A$2:$D$269,4))</f>
      </c>
      <c r="L3" s="23" t="str">
        <f>IF($K3="","bye",VLOOKUP($K3,seznam!$A$2:$D$269,2))</f>
        <v>bye</v>
      </c>
      <c r="M3" s="2">
        <f>IF($K3="","",VLOOKUP($K3,seznam!$A$2:$D$269,4))</f>
      </c>
      <c r="N3" s="90" t="s">
        <v>95</v>
      </c>
      <c r="O3" s="90" t="s">
        <v>95</v>
      </c>
      <c r="P3" s="90" t="s">
        <v>95</v>
      </c>
      <c r="Q3" s="90"/>
      <c r="R3" s="90"/>
      <c r="S3" s="2">
        <f>COUNTIF(AB3:AF3,"&gt;0")</f>
        <v>3</v>
      </c>
      <c r="T3" s="2">
        <f>COUNTIF(AB3:AF3,"&lt;0")</f>
        <v>0</v>
      </c>
      <c r="U3" s="2">
        <f t="shared" si="0"/>
        <v>0</v>
      </c>
      <c r="V3" s="2">
        <f>IF($U3=0,"",VLOOKUP($U3,seznam!$A$2:$D$269,2))</f>
      </c>
      <c r="W3" s="2">
        <f t="shared" si="1"/>
        <v>0</v>
      </c>
      <c r="X3" s="2">
        <f>IF($W3=0,"",VLOOKUP($W3,seznam!$A$2:$D$269,2))</f>
      </c>
      <c r="Y3" s="2" t="str">
        <f>IF(S3=T3,"",IF(S3&gt;T3,CONCATENATE(S3,":",T3," (",N3,",",O3,",",P3,IF(SUM(S3:T3)&gt;3,",",""),Q3,IF(SUM(S3:T3)&gt;4,",",""),R3,")"),CONCATENATE(T3,":",S3," (",-N3,",",-O3,",",-P3,IF(SUM(S3:T3)&gt;3,",",""),IF(SUM(S3:T3)&gt;3,-Q3,""),IF(SUM(S3:T3)&gt;4,",",""),IF(SUM(S3:T3)&gt;4,-R3,""),")")))</f>
        <v>3:0 (0,0,0)</v>
      </c>
      <c r="Z3" s="2" t="str">
        <f aca="true" t="shared" si="3" ref="Z3:Z9">IF(MAX(S3:T3)=3,Y3,"")</f>
        <v>3:0 (0,0,0)</v>
      </c>
      <c r="AB3" s="25">
        <f t="shared" si="2"/>
        <v>1</v>
      </c>
      <c r="AC3" s="25">
        <f t="shared" si="2"/>
        <v>1</v>
      </c>
      <c r="AD3" s="25">
        <f t="shared" si="2"/>
        <v>1</v>
      </c>
      <c r="AE3" s="25">
        <f t="shared" si="2"/>
        <v>0</v>
      </c>
      <c r="AF3" s="25">
        <f t="shared" si="2"/>
        <v>0</v>
      </c>
    </row>
    <row r="4" spans="1:32" ht="12.75">
      <c r="A4" s="2" t="e">
        <f>CONCATENATE("Čtyřhra ",#REF!," - 1.kolo")</f>
        <v>#REF!</v>
      </c>
      <c r="B4" s="2">
        <f>'čt. žáci'!$B$11</f>
        <v>0</v>
      </c>
      <c r="C4" s="22" t="str">
        <f>IF($B4=0,"bye",VLOOKUP($B4,seznam!$A$2:$D$269,2))</f>
        <v>bye</v>
      </c>
      <c r="D4" s="2">
        <f>IF($B4=0,"",VLOOKUP($B4,seznam!$A$2:$D$269,4))</f>
      </c>
      <c r="F4" s="22"/>
      <c r="G4" s="2">
        <f>IF($E4="","",VLOOKUP($E4,seznam!$A$2:$D$269,4))</f>
      </c>
      <c r="H4" s="2">
        <f>'čt. žáci'!$B$13</f>
        <v>0</v>
      </c>
      <c r="I4" s="23" t="str">
        <f>IF($H4=0,"bye",VLOOKUP($H4,seznam!$A$2:$D$269,2))</f>
        <v>bye</v>
      </c>
      <c r="J4" s="2">
        <f>IF($H4=0,"",VLOOKUP($H4,seznam!$A$2:$D$269,4))</f>
      </c>
      <c r="L4" s="23" t="str">
        <f>IF($K4="","bye",VLOOKUP($K4,seznam!$A$2:$D$269,2))</f>
        <v>bye</v>
      </c>
      <c r="M4" s="2">
        <f>IF($K4="","",VLOOKUP($K4,seznam!$A$2:$D$269,4))</f>
      </c>
      <c r="N4" s="90" t="s">
        <v>95</v>
      </c>
      <c r="O4" s="90" t="s">
        <v>95</v>
      </c>
      <c r="P4" s="90" t="s">
        <v>95</v>
      </c>
      <c r="Q4" s="90"/>
      <c r="R4" s="90"/>
      <c r="S4" s="2">
        <f aca="true" t="shared" si="4" ref="S4:S9">COUNTIF(AB4:AF4,"&gt;0")</f>
        <v>3</v>
      </c>
      <c r="T4" s="2">
        <f aca="true" t="shared" si="5" ref="T4:T9">COUNTIF(AB4:AF4,"&lt;0")</f>
        <v>0</v>
      </c>
      <c r="U4" s="2">
        <f t="shared" si="0"/>
        <v>0</v>
      </c>
      <c r="V4" s="2">
        <f>IF($U4=0,"",VLOOKUP($U4,seznam!$A$2:$D$269,2))</f>
      </c>
      <c r="W4" s="2">
        <f t="shared" si="1"/>
        <v>0</v>
      </c>
      <c r="X4" s="2">
        <f>IF($W4=0,"",VLOOKUP($W4,seznam!$A$2:$D$269,2))</f>
      </c>
      <c r="Y4" s="2" t="str">
        <f aca="true" t="shared" si="6" ref="Y4:Y9">IF(S4=T4,"",IF(S4&gt;T4,CONCATENATE(S4,":",T4," (",N4,",",O4,",",P4,IF(SUM(S4:T4)&gt;3,",",""),Q4,IF(SUM(S4:T4)&gt;4,",",""),R4,")"),CONCATENATE(T4,":",S4," (",-N4,",",-O4,",",-P4,IF(SUM(S4:T4)&gt;3,",",""),IF(SUM(S4:T4)&gt;3,-Q4,""),IF(SUM(S4:T4)&gt;4,",",""),IF(SUM(S4:T4)&gt;4,-R4,""),")")))</f>
        <v>3:0 (0,0,0)</v>
      </c>
      <c r="Z4" s="2" t="str">
        <f t="shared" si="3"/>
        <v>3:0 (0,0,0)</v>
      </c>
      <c r="AB4" s="25">
        <f aca="true" t="shared" si="7" ref="AB4:AB9">IF(N4="",0,IF(MID(N4,1,1)="-",-1,1))</f>
        <v>1</v>
      </c>
      <c r="AC4" s="25">
        <f aca="true" t="shared" si="8" ref="AC4:AC9">IF(O4="",0,IF(MID(O4,1,1)="-",-1,1))</f>
        <v>1</v>
      </c>
      <c r="AD4" s="25">
        <f aca="true" t="shared" si="9" ref="AD4:AD9">IF(P4="",0,IF(MID(P4,1,1)="-",-1,1))</f>
        <v>1</v>
      </c>
      <c r="AE4" s="25">
        <f aca="true" t="shared" si="10" ref="AE4:AE9">IF(Q4="",0,IF(MID(Q4,1,1)="-",-1,1))</f>
        <v>0</v>
      </c>
      <c r="AF4" s="25">
        <f aca="true" t="shared" si="11" ref="AF4:AF9">IF(R4="",0,IF(MID(R4,1,1)="-",-1,1))</f>
        <v>0</v>
      </c>
    </row>
    <row r="5" spans="1:32" ht="12.75">
      <c r="A5" s="2" t="e">
        <f>CONCATENATE("Čtyřhra ",#REF!," - 1.kolo")</f>
        <v>#REF!</v>
      </c>
      <c r="B5" s="2">
        <f>'čt. žáci'!$B$15</f>
        <v>0</v>
      </c>
      <c r="C5" s="22" t="str">
        <f>IF($B5=0,"bye",VLOOKUP($B5,seznam!$A$2:$D$269,2))</f>
        <v>bye</v>
      </c>
      <c r="D5" s="2">
        <f>IF($B5=0,"",VLOOKUP($B5,seznam!$A$2:$D$269,4))</f>
      </c>
      <c r="F5" s="22"/>
      <c r="G5" s="2">
        <f>IF($E5="","",VLOOKUP($E5,seznam!$A$2:$D$269,4))</f>
      </c>
      <c r="H5" s="2">
        <f>'čt. žáci'!$B$17</f>
        <v>8</v>
      </c>
      <c r="I5" s="23" t="str">
        <f>IF($H5=0,"bye",VLOOKUP($H5,seznam!$A$2:$D$269,2))</f>
        <v>Kurdiovský Matěj</v>
      </c>
      <c r="J5" s="2" t="str">
        <f>IF($H5=0,"",VLOOKUP($H5,seznam!$A$2:$D$269,4))</f>
        <v>Tišnov</v>
      </c>
      <c r="K5" s="2">
        <f>'čt. žáci'!$B$18</f>
        <v>10</v>
      </c>
      <c r="L5" s="23" t="str">
        <f>IF($K5="","bye",VLOOKUP($K5,seznam!$A$2:$D$269,2))</f>
        <v>Šimeček Robin</v>
      </c>
      <c r="M5" s="2" t="str">
        <f>IF($K5="","",VLOOKUP($K5,seznam!$A$2:$D$269,4))</f>
        <v>TJ Holásky</v>
      </c>
      <c r="N5" s="90" t="s">
        <v>115</v>
      </c>
      <c r="O5" s="90" t="s">
        <v>115</v>
      </c>
      <c r="P5" s="90" t="s">
        <v>115</v>
      </c>
      <c r="Q5" s="90"/>
      <c r="R5" s="90"/>
      <c r="S5" s="2">
        <f t="shared" si="4"/>
        <v>0</v>
      </c>
      <c r="T5" s="2">
        <f t="shared" si="5"/>
        <v>3</v>
      </c>
      <c r="U5" s="2">
        <f t="shared" si="0"/>
        <v>8</v>
      </c>
      <c r="V5" s="2" t="str">
        <f>IF($U5=0,"",VLOOKUP($U5,seznam!$A$2:$D$269,2))</f>
        <v>Kurdiovský Matěj</v>
      </c>
      <c r="W5" s="2">
        <f t="shared" si="1"/>
        <v>10</v>
      </c>
      <c r="X5" s="2" t="str">
        <f>IF($W5=0,"",VLOOKUP($W5,seznam!$A$2:$D$269,2))</f>
        <v>Šimeček Robin</v>
      </c>
      <c r="Y5" s="2" t="str">
        <f t="shared" si="6"/>
        <v>3:0 (0,0,0)</v>
      </c>
      <c r="Z5" s="2" t="str">
        <f t="shared" si="3"/>
        <v>3:0 (0,0,0)</v>
      </c>
      <c r="AB5" s="25">
        <f t="shared" si="7"/>
        <v>-1</v>
      </c>
      <c r="AC5" s="25">
        <f t="shared" si="8"/>
        <v>-1</v>
      </c>
      <c r="AD5" s="25">
        <f t="shared" si="9"/>
        <v>-1</v>
      </c>
      <c r="AE5" s="25">
        <f t="shared" si="10"/>
        <v>0</v>
      </c>
      <c r="AF5" s="25">
        <f t="shared" si="11"/>
        <v>0</v>
      </c>
    </row>
    <row r="6" spans="1:32" ht="12.75">
      <c r="A6" s="2" t="e">
        <f>CONCATENATE("Čtyřhra ",#REF!," - 1.kolo")</f>
        <v>#REF!</v>
      </c>
      <c r="B6" s="2">
        <f>'čt. žáci'!$B$19</f>
        <v>5</v>
      </c>
      <c r="C6" s="22" t="str">
        <f>IF($B6=0,"bye",VLOOKUP($B6,seznam!$A$2:$D$269,2))</f>
        <v>Horníček Lukáš</v>
      </c>
      <c r="D6" s="2" t="str">
        <f>IF($B6=0,"",VLOOKUP($B6,seznam!$A$2:$D$269,4))</f>
        <v>MS Brno</v>
      </c>
      <c r="E6" s="2">
        <f>'čt. žáci'!$B$20</f>
        <v>6</v>
      </c>
      <c r="F6" s="22" t="str">
        <f>IF($E6="","bye",VLOOKUP($E6,seznam!$A$2:$D$269,2))</f>
        <v>Havránek Ondřej</v>
      </c>
      <c r="G6" s="2" t="str">
        <f>IF($E6="","",VLOOKUP($E6,seznam!$A$2:$D$269,4))</f>
        <v>MS Brno</v>
      </c>
      <c r="H6" s="2">
        <f>'čt. žáci'!$B$21</f>
        <v>0</v>
      </c>
      <c r="I6" s="23" t="str">
        <f>IF($H6=0,"bye",VLOOKUP($H6,seznam!$A$2:$D$269,2))</f>
        <v>bye</v>
      </c>
      <c r="J6" s="2">
        <f>IF($H6=0,"",VLOOKUP($H6,seznam!$A$2:$D$269,4))</f>
      </c>
      <c r="L6" s="23" t="str">
        <f>IF($K6="","bye",VLOOKUP($K6,seznam!$A$2:$D$269,2))</f>
        <v>bye</v>
      </c>
      <c r="M6" s="2">
        <f>IF($K6="","",VLOOKUP($K6,seznam!$A$2:$D$269,4))</f>
      </c>
      <c r="N6" s="90" t="s">
        <v>95</v>
      </c>
      <c r="O6" s="90" t="s">
        <v>95</v>
      </c>
      <c r="P6" s="90" t="s">
        <v>95</v>
      </c>
      <c r="Q6" s="90"/>
      <c r="R6" s="90"/>
      <c r="S6" s="2">
        <f t="shared" si="4"/>
        <v>3</v>
      </c>
      <c r="T6" s="2">
        <f t="shared" si="5"/>
        <v>0</v>
      </c>
      <c r="U6" s="2">
        <f t="shared" si="0"/>
        <v>5</v>
      </c>
      <c r="V6" s="2" t="str">
        <f>IF($U6=0,"",VLOOKUP($U6,seznam!$A$2:$D$269,2))</f>
        <v>Horníček Lukáš</v>
      </c>
      <c r="W6" s="2">
        <f t="shared" si="1"/>
        <v>6</v>
      </c>
      <c r="X6" s="2" t="str">
        <f>IF($W6=0,"",VLOOKUP($W6,seznam!$A$2:$D$269,2))</f>
        <v>Havránek Ondřej</v>
      </c>
      <c r="Y6" s="2" t="str">
        <f t="shared" si="6"/>
        <v>3:0 (0,0,0)</v>
      </c>
      <c r="Z6" s="2" t="str">
        <f t="shared" si="3"/>
        <v>3:0 (0,0,0)</v>
      </c>
      <c r="AB6" s="25">
        <f t="shared" si="7"/>
        <v>1</v>
      </c>
      <c r="AC6" s="25">
        <f t="shared" si="8"/>
        <v>1</v>
      </c>
      <c r="AD6" s="25">
        <f t="shared" si="9"/>
        <v>1</v>
      </c>
      <c r="AE6" s="25">
        <f t="shared" si="10"/>
        <v>0</v>
      </c>
      <c r="AF6" s="25">
        <f t="shared" si="11"/>
        <v>0</v>
      </c>
    </row>
    <row r="7" spans="1:32" ht="12.75">
      <c r="A7" s="2" t="e">
        <f>CONCATENATE("Čtyřhra ",#REF!," - 1.kolo")</f>
        <v>#REF!</v>
      </c>
      <c r="B7" s="2">
        <f>'čt. žáci'!$B$23</f>
        <v>0</v>
      </c>
      <c r="C7" s="22" t="str">
        <f>IF($B7=0,"bye",VLOOKUP($B7,seznam!$A$2:$D$269,2))</f>
        <v>bye</v>
      </c>
      <c r="D7" s="2">
        <f>IF($B7=0,"",VLOOKUP($B7,seznam!$A$2:$D$269,4))</f>
      </c>
      <c r="F7" s="22" t="str">
        <f>IF($E7="","bye",VLOOKUP($E7,seznam!$A$2:$D$269,2))</f>
        <v>bye</v>
      </c>
      <c r="G7" s="2">
        <f>IF($E7="","",VLOOKUP($E7,seznam!$A$2:$D$269,4))</f>
      </c>
      <c r="H7" s="2">
        <f>'čt. žáci'!$B$25</f>
        <v>12</v>
      </c>
      <c r="I7" s="23" t="str">
        <f>IF($H7=0,"bye",VLOOKUP($H7,seznam!$A$2:$D$269,2))</f>
        <v>Buriánek Martin</v>
      </c>
      <c r="J7" s="2" t="str">
        <f>IF($H7=0,"",VLOOKUP($H7,seznam!$A$2:$D$269,4))</f>
        <v>MSK Břeclav</v>
      </c>
      <c r="K7" s="2">
        <f>'čt. žáci'!$B$26</f>
        <v>13</v>
      </c>
      <c r="L7" s="23" t="str">
        <f>IF($K7="","bye",VLOOKUP($K7,seznam!$A$2:$D$269,2))</f>
        <v>Huták Ondřej</v>
      </c>
      <c r="M7" s="2" t="str">
        <f>IF($K7="","",VLOOKUP($K7,seznam!$A$2:$D$269,4))</f>
        <v>Klobouky u Brna</v>
      </c>
      <c r="N7" s="90" t="s">
        <v>115</v>
      </c>
      <c r="O7" s="90" t="s">
        <v>115</v>
      </c>
      <c r="P7" s="90" t="s">
        <v>115</v>
      </c>
      <c r="Q7" s="90"/>
      <c r="R7" s="90"/>
      <c r="S7" s="2">
        <f t="shared" si="4"/>
        <v>0</v>
      </c>
      <c r="T7" s="2">
        <f t="shared" si="5"/>
        <v>3</v>
      </c>
      <c r="U7" s="2">
        <f t="shared" si="0"/>
        <v>12</v>
      </c>
      <c r="V7" s="2" t="str">
        <f>IF($U7=0,"",VLOOKUP($U7,seznam!$A$2:$D$269,2))</f>
        <v>Buriánek Martin</v>
      </c>
      <c r="W7" s="2">
        <f t="shared" si="1"/>
        <v>13</v>
      </c>
      <c r="X7" s="2" t="str">
        <f>IF($W7=0,"",VLOOKUP($W7,seznam!$A$2:$D$269,2))</f>
        <v>Huták Ondřej</v>
      </c>
      <c r="Y7" s="2" t="str">
        <f t="shared" si="6"/>
        <v>3:0 (0,0,0)</v>
      </c>
      <c r="Z7" s="2" t="str">
        <f t="shared" si="3"/>
        <v>3:0 (0,0,0)</v>
      </c>
      <c r="AB7" s="25">
        <f t="shared" si="7"/>
        <v>-1</v>
      </c>
      <c r="AC7" s="25">
        <f t="shared" si="8"/>
        <v>-1</v>
      </c>
      <c r="AD7" s="25">
        <f t="shared" si="9"/>
        <v>-1</v>
      </c>
      <c r="AE7" s="25">
        <f t="shared" si="10"/>
        <v>0</v>
      </c>
      <c r="AF7" s="25">
        <f t="shared" si="11"/>
        <v>0</v>
      </c>
    </row>
    <row r="8" spans="1:32" ht="12.75">
      <c r="A8" s="2" t="e">
        <f>CONCATENATE("Čtyřhra ",#REF!," - 1.kolo")</f>
        <v>#REF!</v>
      </c>
      <c r="B8" s="2">
        <f>'čt. žáci'!$B$27</f>
        <v>0</v>
      </c>
      <c r="C8" s="22" t="str">
        <f>IF($B8=0,"bye",VLOOKUP($B8,seznam!$A$2:$D$269,2))</f>
        <v>bye</v>
      </c>
      <c r="D8" s="2">
        <f>IF($B8=0,"",VLOOKUP($B8,seznam!$A$2:$D$269,4))</f>
      </c>
      <c r="F8" s="22" t="str">
        <f>IF($E8="","bye",VLOOKUP($E8,seznam!$A$2:$D$269,2))</f>
        <v>bye</v>
      </c>
      <c r="G8" s="2">
        <f>IF($E8="","",VLOOKUP($E8,seznam!$A$2:$D$269,4))</f>
      </c>
      <c r="H8" s="2">
        <f>'čt. žáci'!$B$29</f>
        <v>0</v>
      </c>
      <c r="I8" s="23" t="str">
        <f>IF($H8=0,"bye",VLOOKUP($H8,seznam!$A$2:$D$269,2))</f>
        <v>bye</v>
      </c>
      <c r="J8" s="2">
        <f>IF($H8=0,"",VLOOKUP($H8,seznam!$A$2:$D$269,4))</f>
      </c>
      <c r="L8" s="23" t="str">
        <f>IF($K8="","bye",VLOOKUP($K8,seznam!$A$2:$D$269,2))</f>
        <v>bye</v>
      </c>
      <c r="M8" s="2">
        <f>IF($K8="","",VLOOKUP($K8,seznam!$A$2:$D$269,4))</f>
      </c>
      <c r="N8" s="90" t="s">
        <v>95</v>
      </c>
      <c r="O8" s="90" t="s">
        <v>95</v>
      </c>
      <c r="P8" s="90" t="s">
        <v>95</v>
      </c>
      <c r="Q8" s="90"/>
      <c r="R8" s="90"/>
      <c r="S8" s="2">
        <f t="shared" si="4"/>
        <v>3</v>
      </c>
      <c r="T8" s="2">
        <f t="shared" si="5"/>
        <v>0</v>
      </c>
      <c r="U8" s="2">
        <f t="shared" si="0"/>
        <v>0</v>
      </c>
      <c r="V8" s="2">
        <f>IF($U8=0,"",VLOOKUP($U8,seznam!$A$2:$D$269,2))</f>
      </c>
      <c r="W8" s="2">
        <f t="shared" si="1"/>
        <v>0</v>
      </c>
      <c r="X8" s="2">
        <f>IF($W8=0,"",VLOOKUP($W8,seznam!$A$2:$D$269,2))</f>
      </c>
      <c r="Y8" s="2" t="str">
        <f t="shared" si="6"/>
        <v>3:0 (0,0,0)</v>
      </c>
      <c r="Z8" s="2" t="str">
        <f t="shared" si="3"/>
        <v>3:0 (0,0,0)</v>
      </c>
      <c r="AB8" s="25">
        <f t="shared" si="7"/>
        <v>1</v>
      </c>
      <c r="AC8" s="25">
        <f t="shared" si="8"/>
        <v>1</v>
      </c>
      <c r="AD8" s="25">
        <f t="shared" si="9"/>
        <v>1</v>
      </c>
      <c r="AE8" s="25">
        <f t="shared" si="10"/>
        <v>0</v>
      </c>
      <c r="AF8" s="25">
        <f t="shared" si="11"/>
        <v>0</v>
      </c>
    </row>
    <row r="9" spans="1:32" ht="12.75">
      <c r="A9" s="2" t="e">
        <f>CONCATENATE("Čtyřhra ",#REF!," - 1.kolo")</f>
        <v>#REF!</v>
      </c>
      <c r="B9" s="2">
        <f>'čt. žáci'!$B$31</f>
        <v>0</v>
      </c>
      <c r="C9" s="22" t="str">
        <f>IF($B9=0,"bye",VLOOKUP($B9,seznam!$A$2:$D$269,2))</f>
        <v>bye</v>
      </c>
      <c r="D9" s="2">
        <f>IF($B9=0,"",VLOOKUP($B9,seznam!$A$2:$D$269,4))</f>
      </c>
      <c r="F9" s="22" t="str">
        <f>IF($E9="","bye",VLOOKUP($E9,seznam!$A$2:$D$269,2))</f>
        <v>bye</v>
      </c>
      <c r="G9" s="2">
        <f>IF($E9="","",VLOOKUP($E9,seznam!$A$2:$D$269,4))</f>
      </c>
      <c r="H9" s="2">
        <f>'čt. žáci'!$B$33</f>
        <v>2</v>
      </c>
      <c r="I9" s="23" t="str">
        <f>IF($H9=0,"bye",VLOOKUP($H9,seznam!$A$2:$D$269,2))</f>
        <v>Luska Petr</v>
      </c>
      <c r="J9" s="2" t="str">
        <f>IF($H9=0,"",VLOOKUP($H9,seznam!$A$2:$D$269,4))</f>
        <v>KST Vyškov</v>
      </c>
      <c r="K9" s="2">
        <f>'čt. žáci'!$B$34</f>
        <v>4</v>
      </c>
      <c r="L9" s="23" t="str">
        <f>IF($K9="","bye",VLOOKUP($K9,seznam!$A$2:$D$269,2))</f>
        <v>Vincenec Oliver</v>
      </c>
      <c r="M9" s="2" t="str">
        <f>IF($K9="","",VLOOKUP($K9,seznam!$A$2:$D$269,4))</f>
        <v>KST Vyškov</v>
      </c>
      <c r="N9" s="90" t="s">
        <v>115</v>
      </c>
      <c r="O9" s="90" t="s">
        <v>115</v>
      </c>
      <c r="P9" s="90" t="s">
        <v>115</v>
      </c>
      <c r="Q9" s="90"/>
      <c r="R9" s="90"/>
      <c r="S9" s="2">
        <f t="shared" si="4"/>
        <v>0</v>
      </c>
      <c r="T9" s="2">
        <f t="shared" si="5"/>
        <v>3</v>
      </c>
      <c r="U9" s="2">
        <f t="shared" si="0"/>
        <v>2</v>
      </c>
      <c r="V9" s="2" t="str">
        <f>IF($U9=0,"",VLOOKUP($U9,seznam!$A$2:$D$269,2))</f>
        <v>Luska Petr</v>
      </c>
      <c r="W9" s="2">
        <f t="shared" si="1"/>
        <v>4</v>
      </c>
      <c r="X9" s="2" t="str">
        <f>IF($W9=0,"",VLOOKUP($W9,seznam!$A$2:$D$269,2))</f>
        <v>Vincenec Oliver</v>
      </c>
      <c r="Y9" s="2" t="str">
        <f t="shared" si="6"/>
        <v>3:0 (0,0,0)</v>
      </c>
      <c r="Z9" s="2" t="str">
        <f t="shared" si="3"/>
        <v>3:0 (0,0,0)</v>
      </c>
      <c r="AB9" s="25">
        <f t="shared" si="7"/>
        <v>-1</v>
      </c>
      <c r="AC9" s="25">
        <f t="shared" si="8"/>
        <v>-1</v>
      </c>
      <c r="AD9" s="25">
        <f t="shared" si="9"/>
        <v>-1</v>
      </c>
      <c r="AE9" s="25">
        <f t="shared" si="10"/>
        <v>0</v>
      </c>
      <c r="AF9" s="25">
        <f t="shared" si="11"/>
        <v>0</v>
      </c>
    </row>
    <row r="10" spans="1:32" ht="12.75">
      <c r="A10" s="2" t="e">
        <f>CONCATENATE("Čtyřhra ",#REF!," - 2.kolo")</f>
        <v>#REF!</v>
      </c>
      <c r="B10" s="2">
        <f>U2</f>
        <v>1</v>
      </c>
      <c r="C10" s="22" t="str">
        <f>IF($B10=0,"",VLOOKUP($B10,seznam!$A$2:$D$269,2))</f>
        <v>Nespěšný Hynek</v>
      </c>
      <c r="D10" s="2" t="str">
        <f>IF($B10=0,"",VLOOKUP($B10,seznam!$A$2:$D$269,4))</f>
        <v>MS Brno</v>
      </c>
      <c r="E10" s="2">
        <f>W2</f>
        <v>3</v>
      </c>
      <c r="F10" s="22" t="str">
        <f>IF($E10=0,"",VLOOKUP($E10,seznam!$A$2:$D$269,2))</f>
        <v>Drápal Mětoděj</v>
      </c>
      <c r="G10" s="2" t="str">
        <f>IF($E10=0,"",VLOOKUP($E10,seznam!$A$2:$D$269,4))</f>
        <v>MS Brno</v>
      </c>
      <c r="I10" s="23">
        <f>IF($H10=0,"",VLOOKUP($H10,seznam!$A$2:$D$269,2))</f>
      </c>
      <c r="J10" s="2">
        <f>IF($H10=0,"",VLOOKUP($H10,seznam!$A$2:$D$269,4))</f>
      </c>
      <c r="L10" s="23">
        <f>IF($K10=0,"",VLOOKUP($K10,seznam!$A$2:$D$269,2))</f>
      </c>
      <c r="M10" s="2">
        <f>IF($K10=0,"",VLOOKUP($K10,seznam!$A$2:$D$269,4))</f>
      </c>
      <c r="N10" s="90" t="s">
        <v>95</v>
      </c>
      <c r="O10" s="90" t="s">
        <v>95</v>
      </c>
      <c r="P10" s="90" t="s">
        <v>95</v>
      </c>
      <c r="Q10" s="90"/>
      <c r="R10" s="90"/>
      <c r="S10" s="2">
        <f aca="true" t="shared" si="12" ref="S10:S16">COUNTIF(AB10:AF10,"&gt;0")</f>
        <v>3</v>
      </c>
      <c r="T10" s="2">
        <f aca="true" t="shared" si="13" ref="T10:T16">COUNTIF(AB10:AF10,"&lt;0")</f>
        <v>0</v>
      </c>
      <c r="U10" s="2">
        <f aca="true" t="shared" si="14" ref="U10:U16">IF(S10=T10,0,IF(S10&gt;T10,B10,H10))</f>
        <v>1</v>
      </c>
      <c r="V10" s="2" t="str">
        <f>IF($U10=0,"",VLOOKUP($U10,seznam!$A$2:$D$269,2))</f>
        <v>Nespěšný Hynek</v>
      </c>
      <c r="W10" s="2">
        <f aca="true" t="shared" si="15" ref="W10:W16">IF(S10=T10,0,IF(S10&gt;T10,E10,K10))</f>
        <v>3</v>
      </c>
      <c r="X10" s="2" t="str">
        <f>IF($W10=0,"",VLOOKUP($W10,seznam!$A$2:$D$269,2))</f>
        <v>Drápal Mětoděj</v>
      </c>
      <c r="Y10" s="2" t="str">
        <f aca="true" t="shared" si="16" ref="Y10:Y16">IF(S10=T10,"",IF(S10&gt;T10,CONCATENATE(S10,":",T10," (",N10,",",O10,",",P10,IF(SUM(S10:T10)&gt;3,",",""),Q10,IF(SUM(S10:T10)&gt;4,",",""),R10,")"),CONCATENATE(T10,":",S10," (",-N10,",",-O10,",",-P10,IF(SUM(S10:T10)&gt;3,",",""),IF(SUM(S10:T10)&gt;3,-Q10,""),IF(SUM(S10:T10)&gt;4,",",""),IF(SUM(S10:T10)&gt;4,-R10,""),")")))</f>
        <v>3:0 (0,0,0)</v>
      </c>
      <c r="Z10" s="2" t="str">
        <f aca="true" t="shared" si="17" ref="Z10:Z16">IF(MAX(S10:T10)=3,Y10,"")</f>
        <v>3:0 (0,0,0)</v>
      </c>
      <c r="AB10" s="25">
        <f aca="true" t="shared" si="18" ref="AB10:AF13">IF(N10="",0,IF(MID(N10,1,1)="-",-1,1))</f>
        <v>1</v>
      </c>
      <c r="AC10" s="25">
        <f t="shared" si="18"/>
        <v>1</v>
      </c>
      <c r="AD10" s="25">
        <f t="shared" si="18"/>
        <v>1</v>
      </c>
      <c r="AE10" s="25">
        <f t="shared" si="18"/>
        <v>0</v>
      </c>
      <c r="AF10" s="25">
        <f t="shared" si="18"/>
        <v>0</v>
      </c>
    </row>
    <row r="11" spans="1:32" ht="12.75">
      <c r="A11" s="2" t="e">
        <f>CONCATENATE("Čtyřhra ",#REF!," - 2.kolo")</f>
        <v>#REF!</v>
      </c>
      <c r="B11" s="2">
        <f>U4</f>
        <v>0</v>
      </c>
      <c r="C11" s="22">
        <f>IF($B11=0,"",VLOOKUP($B11,seznam!$A$2:$D$269,2))</f>
      </c>
      <c r="D11" s="2">
        <f>IF($B11=0,"",VLOOKUP($B11,seznam!$A$2:$D$269,4))</f>
      </c>
      <c r="E11" s="2">
        <f>W4</f>
        <v>0</v>
      </c>
      <c r="F11" s="22">
        <f>IF($E11=0,"",VLOOKUP($E11,seznam!$A$2:$D$269,2))</f>
      </c>
      <c r="G11" s="2">
        <f>IF($E11=0,"",VLOOKUP($E11,seznam!$A$2:$D$269,4))</f>
      </c>
      <c r="H11" s="2">
        <f>U5</f>
        <v>8</v>
      </c>
      <c r="I11" s="23" t="str">
        <f>IF($H11=0,"",VLOOKUP($H11,seznam!$A$2:$D$269,2))</f>
        <v>Kurdiovský Matěj</v>
      </c>
      <c r="J11" s="2" t="str">
        <f>IF($H11=0,"",VLOOKUP($H11,seznam!$A$2:$D$269,4))</f>
        <v>Tišnov</v>
      </c>
      <c r="K11" s="2">
        <f>W5</f>
        <v>10</v>
      </c>
      <c r="L11" s="23" t="str">
        <f>IF($K11=0,"",VLOOKUP($K11,seznam!$A$2:$D$269,2))</f>
        <v>Šimeček Robin</v>
      </c>
      <c r="M11" s="2" t="str">
        <f>IF($K11=0,"",VLOOKUP($K11,seznam!$A$2:$D$269,4))</f>
        <v>TJ Holásky</v>
      </c>
      <c r="N11" s="90" t="s">
        <v>115</v>
      </c>
      <c r="O11" s="90" t="s">
        <v>115</v>
      </c>
      <c r="P11" s="90" t="s">
        <v>115</v>
      </c>
      <c r="Q11" s="90"/>
      <c r="R11" s="90"/>
      <c r="S11" s="2">
        <f t="shared" si="12"/>
        <v>0</v>
      </c>
      <c r="T11" s="2">
        <f t="shared" si="13"/>
        <v>3</v>
      </c>
      <c r="U11" s="2">
        <f t="shared" si="14"/>
        <v>8</v>
      </c>
      <c r="V11" s="2" t="str">
        <f>IF($U11=0,"",VLOOKUP($U11,seznam!$A$2:$D$269,2))</f>
        <v>Kurdiovský Matěj</v>
      </c>
      <c r="W11" s="2">
        <f t="shared" si="15"/>
        <v>10</v>
      </c>
      <c r="X11" s="2" t="str">
        <f>IF($W11=0,"",VLOOKUP($W11,seznam!$A$2:$D$269,2))</f>
        <v>Šimeček Robin</v>
      </c>
      <c r="Y11" s="2" t="str">
        <f t="shared" si="16"/>
        <v>3:0 (0,0,0)</v>
      </c>
      <c r="Z11" s="2" t="str">
        <f t="shared" si="17"/>
        <v>3:0 (0,0,0)</v>
      </c>
      <c r="AB11" s="25">
        <f t="shared" si="18"/>
        <v>-1</v>
      </c>
      <c r="AC11" s="25">
        <f t="shared" si="18"/>
        <v>-1</v>
      </c>
      <c r="AD11" s="25">
        <f t="shared" si="18"/>
        <v>-1</v>
      </c>
      <c r="AE11" s="25">
        <f t="shared" si="18"/>
        <v>0</v>
      </c>
      <c r="AF11" s="25">
        <f t="shared" si="18"/>
        <v>0</v>
      </c>
    </row>
    <row r="12" spans="1:32" ht="12.75">
      <c r="A12" s="2" t="e">
        <f>CONCATENATE("Čtyřhra ",#REF!," - 2.kolo")</f>
        <v>#REF!</v>
      </c>
      <c r="B12" s="2">
        <f>U6</f>
        <v>5</v>
      </c>
      <c r="C12" s="22" t="str">
        <f>IF($B12=0,"",VLOOKUP($B12,seznam!$A$2:$D$269,2))</f>
        <v>Horníček Lukáš</v>
      </c>
      <c r="D12" s="2" t="str">
        <f>IF($B12=0,"",VLOOKUP($B12,seznam!$A$2:$D$269,4))</f>
        <v>MS Brno</v>
      </c>
      <c r="E12" s="2">
        <f>W6</f>
        <v>6</v>
      </c>
      <c r="F12" s="22" t="str">
        <f>IF($E12=0,"",VLOOKUP($E12,seznam!$A$2:$D$269,2))</f>
        <v>Havránek Ondřej</v>
      </c>
      <c r="G12" s="2" t="str">
        <f>IF($E12=0,"",VLOOKUP($E12,seznam!$A$2:$D$269,4))</f>
        <v>MS Brno</v>
      </c>
      <c r="H12" s="2">
        <f>U7</f>
        <v>12</v>
      </c>
      <c r="I12" s="23" t="str">
        <f>IF($H12=0,"",VLOOKUP($H12,seznam!$A$2:$D$269,2))</f>
        <v>Buriánek Martin</v>
      </c>
      <c r="J12" s="2" t="str">
        <f>IF($H12=0,"",VLOOKUP($H12,seznam!$A$2:$D$269,4))</f>
        <v>MSK Břeclav</v>
      </c>
      <c r="K12" s="2">
        <f>W7</f>
        <v>13</v>
      </c>
      <c r="L12" s="23" t="str">
        <f>IF($K12=0,"",VLOOKUP($K12,seznam!$A$2:$D$269,2))</f>
        <v>Huták Ondřej</v>
      </c>
      <c r="M12" s="2" t="str">
        <f>IF($K12=0,"",VLOOKUP($K12,seznam!$A$2:$D$269,4))</f>
        <v>Klobouky u Brna</v>
      </c>
      <c r="N12" s="90" t="s">
        <v>112</v>
      </c>
      <c r="O12" s="90" t="s">
        <v>116</v>
      </c>
      <c r="P12" s="90" t="s">
        <v>116</v>
      </c>
      <c r="Q12" s="90"/>
      <c r="R12" s="90"/>
      <c r="S12" s="2">
        <f t="shared" si="12"/>
        <v>0</v>
      </c>
      <c r="T12" s="2">
        <f t="shared" si="13"/>
        <v>3</v>
      </c>
      <c r="U12" s="2">
        <f t="shared" si="14"/>
        <v>12</v>
      </c>
      <c r="V12" s="2" t="str">
        <f>IF($U12=0,"",VLOOKUP($U12,seznam!$A$2:$D$269,2))</f>
        <v>Buriánek Martin</v>
      </c>
      <c r="W12" s="2">
        <f t="shared" si="15"/>
        <v>13</v>
      </c>
      <c r="X12" s="2" t="str">
        <f>IF($W12=0,"",VLOOKUP($W12,seznam!$A$2:$D$269,2))</f>
        <v>Huták Ondřej</v>
      </c>
      <c r="Y12" s="2" t="str">
        <f t="shared" si="16"/>
        <v>3:0 (13,10,10)</v>
      </c>
      <c r="Z12" s="2" t="str">
        <f t="shared" si="17"/>
        <v>3:0 (13,10,10)</v>
      </c>
      <c r="AB12" s="25">
        <f t="shared" si="18"/>
        <v>-1</v>
      </c>
      <c r="AC12" s="25">
        <f t="shared" si="18"/>
        <v>-1</v>
      </c>
      <c r="AD12" s="25">
        <f t="shared" si="18"/>
        <v>-1</v>
      </c>
      <c r="AE12" s="25">
        <f t="shared" si="18"/>
        <v>0</v>
      </c>
      <c r="AF12" s="25">
        <f t="shared" si="18"/>
        <v>0</v>
      </c>
    </row>
    <row r="13" spans="1:32" ht="12.75">
      <c r="A13" s="2" t="e">
        <f>CONCATENATE("Čtyřhra ",#REF!," - 2.kolo")</f>
        <v>#REF!</v>
      </c>
      <c r="B13" s="2">
        <f>U8</f>
        <v>0</v>
      </c>
      <c r="C13" s="22">
        <f>IF($B13=0,"",VLOOKUP($B13,seznam!$A$2:$D$269,2))</f>
      </c>
      <c r="D13" s="2">
        <f>IF($B13=0,"",VLOOKUP($B13,seznam!$A$2:$D$269,4))</f>
      </c>
      <c r="E13" s="2">
        <f>W8</f>
        <v>0</v>
      </c>
      <c r="F13" s="22">
        <f>IF($E13=0,"",VLOOKUP($E13,seznam!$A$2:$D$269,2))</f>
      </c>
      <c r="G13" s="2">
        <f>IF($E13=0,"",VLOOKUP($E13,seznam!$A$2:$D$269,4))</f>
      </c>
      <c r="H13" s="2">
        <f>U9</f>
        <v>2</v>
      </c>
      <c r="I13" s="23" t="str">
        <f>IF($H13=0,"",VLOOKUP($H13,seznam!$A$2:$D$269,2))</f>
        <v>Luska Petr</v>
      </c>
      <c r="J13" s="2" t="str">
        <f>IF($H13=0,"",VLOOKUP($H13,seznam!$A$2:$D$269,4))</f>
        <v>KST Vyškov</v>
      </c>
      <c r="K13" s="2">
        <f>W9</f>
        <v>4</v>
      </c>
      <c r="L13" s="23" t="str">
        <f>IF($K13=0,"",VLOOKUP($K13,seznam!$A$2:$D$269,2))</f>
        <v>Vincenec Oliver</v>
      </c>
      <c r="M13" s="2" t="str">
        <f>IF($K13=0,"",VLOOKUP($K13,seznam!$A$2:$D$269,4))</f>
        <v>KST Vyškov</v>
      </c>
      <c r="N13" s="90" t="s">
        <v>115</v>
      </c>
      <c r="O13" s="90" t="s">
        <v>115</v>
      </c>
      <c r="P13" s="90" t="s">
        <v>115</v>
      </c>
      <c r="Q13" s="90"/>
      <c r="R13" s="90"/>
      <c r="S13" s="2">
        <f t="shared" si="12"/>
        <v>0</v>
      </c>
      <c r="T13" s="2">
        <f t="shared" si="13"/>
        <v>3</v>
      </c>
      <c r="U13" s="2">
        <f t="shared" si="14"/>
        <v>2</v>
      </c>
      <c r="V13" s="2" t="str">
        <f>IF($U13=0,"",VLOOKUP($U13,seznam!$A$2:$D$269,2))</f>
        <v>Luska Petr</v>
      </c>
      <c r="W13" s="2">
        <f t="shared" si="15"/>
        <v>4</v>
      </c>
      <c r="X13" s="2" t="str">
        <f>IF($W13=0,"",VLOOKUP($W13,seznam!$A$2:$D$269,2))</f>
        <v>Vincenec Oliver</v>
      </c>
      <c r="Y13" s="2" t="str">
        <f t="shared" si="16"/>
        <v>3:0 (0,0,0)</v>
      </c>
      <c r="Z13" s="2" t="str">
        <f t="shared" si="17"/>
        <v>3:0 (0,0,0)</v>
      </c>
      <c r="AB13" s="25">
        <f t="shared" si="18"/>
        <v>-1</v>
      </c>
      <c r="AC13" s="25">
        <f t="shared" si="18"/>
        <v>-1</v>
      </c>
      <c r="AD13" s="25">
        <f t="shared" si="18"/>
        <v>-1</v>
      </c>
      <c r="AE13" s="25">
        <f t="shared" si="18"/>
        <v>0</v>
      </c>
      <c r="AF13" s="25">
        <f t="shared" si="18"/>
        <v>0</v>
      </c>
    </row>
    <row r="14" spans="1:32" ht="12.75">
      <c r="A14" s="2" t="e">
        <f>CONCATENATE("Čtyřhra ",#REF!," - 3.kolo")</f>
        <v>#REF!</v>
      </c>
      <c r="B14" s="2">
        <f>U10</f>
        <v>1</v>
      </c>
      <c r="C14" s="22" t="str">
        <f>IF($B14=0,"",VLOOKUP($B14,seznam!$A$2:$D$269,2))</f>
        <v>Nespěšný Hynek</v>
      </c>
      <c r="D14" s="2" t="str">
        <f>IF($B14=0,"",VLOOKUP($B14,seznam!$A$2:$D$269,4))</f>
        <v>MS Brno</v>
      </c>
      <c r="E14" s="2">
        <f>W10</f>
        <v>3</v>
      </c>
      <c r="F14" s="22" t="str">
        <f>IF($E14=0,"",VLOOKUP($E14,seznam!$A$2:$D$269,2))</f>
        <v>Drápal Mětoděj</v>
      </c>
      <c r="G14" s="2" t="str">
        <f>IF($E14=0,"",VLOOKUP($E14,seznam!$A$2:$D$269,4))</f>
        <v>MS Brno</v>
      </c>
      <c r="H14" s="2">
        <f>U11</f>
        <v>8</v>
      </c>
      <c r="I14" s="23" t="str">
        <f>IF($H14=0,"",VLOOKUP($H14,seznam!$A$2:$D$269,2))</f>
        <v>Kurdiovský Matěj</v>
      </c>
      <c r="J14" s="2" t="str">
        <f>IF($H14=0,"",VLOOKUP($H14,seznam!$A$2:$D$269,4))</f>
        <v>Tišnov</v>
      </c>
      <c r="K14" s="2">
        <f>W11</f>
        <v>10</v>
      </c>
      <c r="L14" s="23" t="str">
        <f>IF($K14=0,"",VLOOKUP($K14,seznam!$A$2:$D$269,2))</f>
        <v>Šimeček Robin</v>
      </c>
      <c r="M14" s="2" t="str">
        <f>IF($K14=0,"",VLOOKUP($K14,seznam!$A$2:$D$269,4))</f>
        <v>TJ Holásky</v>
      </c>
      <c r="N14" s="90" t="s">
        <v>108</v>
      </c>
      <c r="O14" s="90" t="s">
        <v>93</v>
      </c>
      <c r="P14" s="90" t="s">
        <v>52</v>
      </c>
      <c r="Q14" s="90" t="s">
        <v>52</v>
      </c>
      <c r="R14" s="90"/>
      <c r="S14" s="2">
        <f t="shared" si="12"/>
        <v>3</v>
      </c>
      <c r="T14" s="2">
        <f t="shared" si="13"/>
        <v>1</v>
      </c>
      <c r="U14" s="2">
        <f t="shared" si="14"/>
        <v>1</v>
      </c>
      <c r="V14" s="2" t="str">
        <f>IF($U14=0,"",VLOOKUP($U14,seznam!$A$2:$D$269,2))</f>
        <v>Nespěšný Hynek</v>
      </c>
      <c r="W14" s="2">
        <f t="shared" si="15"/>
        <v>3</v>
      </c>
      <c r="X14" s="2" t="str">
        <f>IF($W14=0,"",VLOOKUP($W14,seznam!$A$2:$D$269,2))</f>
        <v>Drápal Mětoděj</v>
      </c>
      <c r="Y14" s="2" t="str">
        <f t="shared" si="16"/>
        <v>3:1 (-7,1,2,2)</v>
      </c>
      <c r="Z14" s="2" t="str">
        <f t="shared" si="17"/>
        <v>3:1 (-7,1,2,2)</v>
      </c>
      <c r="AB14" s="25">
        <f aca="true" t="shared" si="19" ref="AB14:AF16">IF(N14="",0,IF(MID(N14,1,1)="-",-1,1))</f>
        <v>-1</v>
      </c>
      <c r="AC14" s="25">
        <f t="shared" si="19"/>
        <v>1</v>
      </c>
      <c r="AD14" s="25">
        <f t="shared" si="19"/>
        <v>1</v>
      </c>
      <c r="AE14" s="25">
        <f t="shared" si="19"/>
        <v>1</v>
      </c>
      <c r="AF14" s="25">
        <f t="shared" si="19"/>
        <v>0</v>
      </c>
    </row>
    <row r="15" spans="1:32" ht="12.75">
      <c r="A15" s="2" t="e">
        <f>CONCATENATE("Čtyřhra ",#REF!," - 3.kolo")</f>
        <v>#REF!</v>
      </c>
      <c r="B15" s="2">
        <f>U12</f>
        <v>12</v>
      </c>
      <c r="C15" s="22" t="str">
        <f>IF($B15=0,"",VLOOKUP($B15,seznam!$A$2:$D$269,2))</f>
        <v>Buriánek Martin</v>
      </c>
      <c r="D15" s="2" t="str">
        <f>IF($B15=0,"",VLOOKUP($B15,seznam!$A$2:$D$269,4))</f>
        <v>MSK Břeclav</v>
      </c>
      <c r="E15" s="2">
        <f>W12</f>
        <v>13</v>
      </c>
      <c r="F15" s="22" t="str">
        <f>IF($E15=0,"",VLOOKUP($E15,seznam!$A$2:$D$269,2))</f>
        <v>Huták Ondřej</v>
      </c>
      <c r="G15" s="2" t="str">
        <f>IF($E15=0,"",VLOOKUP($E15,seznam!$A$2:$D$269,4))</f>
        <v>Klobouky u Brna</v>
      </c>
      <c r="H15" s="2">
        <f>U13</f>
        <v>2</v>
      </c>
      <c r="I15" s="23" t="str">
        <f>IF($H15=0,"",VLOOKUP($H15,seznam!$A$2:$D$269,2))</f>
        <v>Luska Petr</v>
      </c>
      <c r="J15" s="2" t="str">
        <f>IF($H15=0,"",VLOOKUP($H15,seznam!$A$2:$D$269,4))</f>
        <v>KST Vyškov</v>
      </c>
      <c r="K15" s="2">
        <f>W13</f>
        <v>4</v>
      </c>
      <c r="L15" s="23" t="str">
        <f>IF($K15=0,"",VLOOKUP($K15,seznam!$A$2:$D$269,2))</f>
        <v>Vincenec Oliver</v>
      </c>
      <c r="M15" s="2" t="str">
        <f>IF($K15=0,"",VLOOKUP($K15,seznam!$A$2:$D$269,4))</f>
        <v>KST Vyškov</v>
      </c>
      <c r="N15" s="90" t="s">
        <v>100</v>
      </c>
      <c r="O15" s="90" t="s">
        <v>94</v>
      </c>
      <c r="P15" s="90" t="s">
        <v>114</v>
      </c>
      <c r="Q15" s="90" t="s">
        <v>109</v>
      </c>
      <c r="R15" s="90" t="s">
        <v>102</v>
      </c>
      <c r="S15" s="2">
        <f t="shared" si="12"/>
        <v>2</v>
      </c>
      <c r="T15" s="2">
        <f t="shared" si="13"/>
        <v>3</v>
      </c>
      <c r="U15" s="2">
        <f t="shared" si="14"/>
        <v>2</v>
      </c>
      <c r="V15" s="2" t="str">
        <f>IF($U15=0,"",VLOOKUP($U15,seznam!$A$2:$D$269,2))</f>
        <v>Luska Petr</v>
      </c>
      <c r="W15" s="2">
        <f t="shared" si="15"/>
        <v>4</v>
      </c>
      <c r="X15" s="2" t="str">
        <f>IF($W15=0,"",VLOOKUP($W15,seznam!$A$2:$D$269,2))</f>
        <v>Vincenec Oliver</v>
      </c>
      <c r="Y15" s="2" t="str">
        <f t="shared" si="16"/>
        <v>3:2 (-7,-8,8,5,9)</v>
      </c>
      <c r="Z15" s="2" t="str">
        <f t="shared" si="17"/>
        <v>3:2 (-7,-8,8,5,9)</v>
      </c>
      <c r="AB15" s="25">
        <f t="shared" si="19"/>
        <v>1</v>
      </c>
      <c r="AC15" s="25">
        <f t="shared" si="19"/>
        <v>1</v>
      </c>
      <c r="AD15" s="25">
        <f t="shared" si="19"/>
        <v>-1</v>
      </c>
      <c r="AE15" s="25">
        <f t="shared" si="19"/>
        <v>-1</v>
      </c>
      <c r="AF15" s="25">
        <f t="shared" si="19"/>
        <v>-1</v>
      </c>
    </row>
    <row r="16" spans="1:32" ht="12.75">
      <c r="A16" s="2" t="e">
        <f>CONCATENATE("Čtyřhra ",#REF!," - 4.kolo")</f>
        <v>#REF!</v>
      </c>
      <c r="B16" s="2">
        <f>U14</f>
        <v>1</v>
      </c>
      <c r="C16" s="22" t="str">
        <f>IF($B16=0,"",VLOOKUP($B16,seznam!$A$2:$D$269,2))</f>
        <v>Nespěšný Hynek</v>
      </c>
      <c r="D16" s="2" t="str">
        <f>IF($B16=0,"",VLOOKUP($B16,seznam!$A$2:$D$269,4))</f>
        <v>MS Brno</v>
      </c>
      <c r="E16" s="2">
        <f>W14</f>
        <v>3</v>
      </c>
      <c r="F16" s="22" t="str">
        <f>IF($E16=0,"",VLOOKUP($E16,seznam!$A$2:$D$269,2))</f>
        <v>Drápal Mětoděj</v>
      </c>
      <c r="G16" s="2" t="str">
        <f>IF($E16=0,"",VLOOKUP($E16,seznam!$A$2:$D$269,4))</f>
        <v>MS Brno</v>
      </c>
      <c r="H16" s="2">
        <f>U15</f>
        <v>2</v>
      </c>
      <c r="I16" s="23" t="str">
        <f>IF($H16=0,"",VLOOKUP($H16,seznam!$A$2:$D$269,2))</f>
        <v>Luska Petr</v>
      </c>
      <c r="J16" s="2" t="str">
        <f>IF($H16=0,"",VLOOKUP($H16,seznam!$A$2:$D$269,4))</f>
        <v>KST Vyškov</v>
      </c>
      <c r="K16" s="2">
        <f>W15</f>
        <v>4</v>
      </c>
      <c r="L16" s="23" t="str">
        <f>IF($K16=0,"",VLOOKUP($K16,seznam!$A$2:$D$269,2))</f>
        <v>Vincenec Oliver</v>
      </c>
      <c r="M16" s="2" t="str">
        <f>IF($K16=0,"",VLOOKUP($K16,seznam!$A$2:$D$269,4))</f>
        <v>KST Vyškov</v>
      </c>
      <c r="N16" s="90" t="s">
        <v>94</v>
      </c>
      <c r="O16" s="90" t="s">
        <v>101</v>
      </c>
      <c r="P16" s="90" t="s">
        <v>101</v>
      </c>
      <c r="Q16" s="90"/>
      <c r="R16" s="90"/>
      <c r="S16" s="2">
        <f t="shared" si="12"/>
        <v>3</v>
      </c>
      <c r="T16" s="2">
        <f t="shared" si="13"/>
        <v>0</v>
      </c>
      <c r="U16" s="2">
        <f t="shared" si="14"/>
        <v>1</v>
      </c>
      <c r="V16" s="2" t="str">
        <f>IF($U16=0,"",VLOOKUP($U16,seznam!$A$2:$D$269,2))</f>
        <v>Nespěšný Hynek</v>
      </c>
      <c r="W16" s="2">
        <f t="shared" si="15"/>
        <v>3</v>
      </c>
      <c r="X16" s="2" t="str">
        <f>IF($W16=0,"",VLOOKUP($W16,seznam!$A$2:$D$269,2))</f>
        <v>Drápal Mětoděj</v>
      </c>
      <c r="Y16" s="2" t="str">
        <f t="shared" si="16"/>
        <v>3:0 (8,9,9)</v>
      </c>
      <c r="Z16" s="2" t="str">
        <f t="shared" si="17"/>
        <v>3:0 (8,9,9)</v>
      </c>
      <c r="AB16" s="25">
        <f t="shared" si="19"/>
        <v>1</v>
      </c>
      <c r="AC16" s="25">
        <f t="shared" si="19"/>
        <v>1</v>
      </c>
      <c r="AD16" s="25">
        <f t="shared" si="19"/>
        <v>1</v>
      </c>
      <c r="AE16" s="25">
        <f t="shared" si="19"/>
        <v>0</v>
      </c>
      <c r="AF16" s="25">
        <f t="shared" si="19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view="pageBreakPreview" zoomScaleSheetLayoutView="100" zoomScalePageLayoutView="0" workbookViewId="0" topLeftCell="A1">
      <selection activeCell="G1" sqref="G1"/>
    </sheetView>
  </sheetViews>
  <sheetFormatPr defaultColWidth="9.125" defaultRowHeight="12.75"/>
  <cols>
    <col min="1" max="1" width="3.50390625" style="2" bestFit="1" customWidth="1"/>
    <col min="2" max="2" width="4.125" style="2" customWidth="1"/>
    <col min="3" max="3" width="32.00390625" style="2" customWidth="1"/>
    <col min="4" max="4" width="0.875" style="2" customWidth="1"/>
    <col min="5" max="6" width="18.375" style="2" bestFit="1" customWidth="1"/>
    <col min="7" max="7" width="19.125" style="2" bestFit="1" customWidth="1"/>
    <col min="8" max="8" width="19.375" style="2" customWidth="1"/>
    <col min="9" max="16384" width="9.125" style="2" customWidth="1"/>
  </cols>
  <sheetData>
    <row r="1" spans="1:8" ht="27" customHeight="1">
      <c r="A1" s="3"/>
      <c r="B1" s="87" t="s">
        <v>87</v>
      </c>
      <c r="G1" s="88" t="s">
        <v>89</v>
      </c>
      <c r="H1" s="84"/>
    </row>
    <row r="2" spans="2:8" ht="21" customHeight="1">
      <c r="B2" s="4"/>
      <c r="H2" s="20"/>
    </row>
    <row r="3" spans="2:8" ht="13.5">
      <c r="B3" s="2">
        <v>41</v>
      </c>
      <c r="C3" s="2" t="str">
        <f>IF($B3="","",CONCATENATE(VLOOKUP($B3,seznam!$A$2:$B$269,2)," (",VLOOKUP($B3,seznam!$A$2:$E$269,4),")"))</f>
        <v>Sobotíková Monika (MS Brno)</v>
      </c>
      <c r="D3" s="4"/>
      <c r="H3" s="15"/>
    </row>
    <row r="4" spans="1:5" ht="12.75">
      <c r="A4" s="2">
        <v>1</v>
      </c>
      <c r="B4" s="5">
        <v>43</v>
      </c>
      <c r="C4" s="5" t="str">
        <f>IF($B4="","bye",CONCATENATE(VLOOKUP($B4,seznam!$A$2:$B$269,2)," (",VLOOKUP($B4,seznam!$A$2:$E$269,4),")"))</f>
        <v>Pilitowská Lea (KST Blansko)</v>
      </c>
      <c r="E4" s="2" t="str">
        <f>'výsl. čt. žákyně'!V2</f>
        <v>Sobotíková Monika</v>
      </c>
    </row>
    <row r="5" spans="3:5" ht="12.75">
      <c r="C5" s="2">
        <f>IF($B5="","",CONCATENATE(VLOOKUP($B5,seznam!$A$2:$B$269,2)," (",VLOOKUP($B5,seznam!$A$2:$E$269,4),")"))</f>
      </c>
      <c r="D5" s="13"/>
      <c r="E5" s="5" t="str">
        <f>'výsl. čt. žákyně'!X2</f>
        <v>Pilitowská Lea</v>
      </c>
    </row>
    <row r="6" spans="1:6" ht="12.75">
      <c r="A6" s="2">
        <v>2</v>
      </c>
      <c r="B6" s="5">
        <f>IF(B5="","",VLOOKUP(B5,debl!$B$1:$C$128,2,FALSE))</f>
      </c>
      <c r="C6" s="5" t="str">
        <f>IF($B6="","bye",CONCATENATE(VLOOKUP($B6,seznam!$A$2:$B$269,2)," (",VLOOKUP($B6,seznam!$A$2:$E$269,4),")"))</f>
        <v>bye</v>
      </c>
      <c r="D6" s="14"/>
      <c r="E6" s="6">
        <f>'výsl. čt. žákyně'!Z2</f>
      </c>
      <c r="F6" s="2" t="str">
        <f>'výsl. čt. žákyně'!V6</f>
        <v>Sobotíková Monika</v>
      </c>
    </row>
    <row r="7" spans="3:6" ht="12.75">
      <c r="C7" s="2">
        <f>IF($B7="","",CONCATENATE(VLOOKUP($B7,seznam!$A$2:$B$269,2)," (",VLOOKUP($B7,seznam!$A$2:$E$269,4),")"))</f>
      </c>
      <c r="D7" s="15"/>
      <c r="E7" s="8"/>
      <c r="F7" s="9" t="str">
        <f>'výsl. čt. žákyně'!X6</f>
        <v>Pilitowská Lea</v>
      </c>
    </row>
    <row r="8" spans="1:6" ht="12.75">
      <c r="A8" s="2">
        <v>3</v>
      </c>
      <c r="B8" s="5"/>
      <c r="C8" s="5" t="str">
        <f>IF($B8="","bye",CONCATENATE(VLOOKUP($B8,seznam!$A$2:$B$269,2)," (",VLOOKUP($B8,seznam!$A$2:$E$269,4),")"))</f>
        <v>bye</v>
      </c>
      <c r="D8" s="12"/>
      <c r="E8" s="8">
        <f>'výsl. čt. žákyně'!V3</f>
      </c>
      <c r="F8" s="6">
        <f>'výsl. čt. žákyně'!Z6</f>
      </c>
    </row>
    <row r="9" spans="3:6" ht="12.75">
      <c r="C9" s="2">
        <f>IF($B9="","",CONCATENATE(VLOOKUP($B9,seznam!$A$2:$B$269,2)," (",VLOOKUP($B9,seznam!$A$2:$E$269,4),")"))</f>
      </c>
      <c r="D9" s="13"/>
      <c r="E9" s="7">
        <f>'výsl. čt. žákyně'!X3</f>
      </c>
      <c r="F9" s="8"/>
    </row>
    <row r="10" spans="1:7" ht="12.75">
      <c r="A10" s="2">
        <v>4</v>
      </c>
      <c r="B10" s="5"/>
      <c r="C10" s="5" t="str">
        <f>IF($B10="","bye",CONCATENATE(VLOOKUP($B10,seznam!$A$2:$B$269,2)," (",VLOOKUP($B10,seznam!$A$2:$E$269,4),")"))</f>
        <v>bye</v>
      </c>
      <c r="D10" s="14"/>
      <c r="E10" s="2">
        <f>'výsl. čt. žákyně'!Z3</f>
      </c>
      <c r="F10" s="8"/>
      <c r="G10" s="96" t="str">
        <f>'výsl. čt. žákyně'!V8</f>
        <v>Dreits Anastasiia</v>
      </c>
    </row>
    <row r="11" spans="2:7" ht="12.75">
      <c r="B11" s="2">
        <v>46</v>
      </c>
      <c r="C11" s="2" t="str">
        <f>IF($B11="","",CONCATENATE(VLOOKUP($B11,seznam!$A$2:$B$269,2)," (",VLOOKUP($B11,seznam!$A$2:$E$269,4),")"))</f>
        <v>Plíšková Kateřina (MS Brno)</v>
      </c>
      <c r="D11" s="15"/>
      <c r="F11" s="8"/>
      <c r="G11" s="97" t="str">
        <f>'výsl. čt. žákyně'!X8</f>
        <v>Hutáková Pavla </v>
      </c>
    </row>
    <row r="12" spans="1:8" ht="12.75">
      <c r="A12" s="2">
        <v>5</v>
      </c>
      <c r="B12" s="5">
        <v>47</v>
      </c>
      <c r="C12" s="5" t="str">
        <f>IF($B12="","bye",CONCATENATE(VLOOKUP($B12,seznam!$A$2:$B$269,2)," (",VLOOKUP($B12,seznam!$A$2:$E$269,4),")"))</f>
        <v>Plíšková Kristýna (MS Brno)</v>
      </c>
      <c r="D12" s="12"/>
      <c r="E12" s="2" t="str">
        <f>'výsl. čt. žákyně'!V4</f>
        <v>Plíšková Kateřina</v>
      </c>
      <c r="F12" s="8"/>
      <c r="G12" s="85" t="str">
        <f>'výsl. čt. žákyně'!Z8</f>
        <v>3:0 (10,7,7)</v>
      </c>
      <c r="H12" s="83"/>
    </row>
    <row r="13" spans="3:8" ht="12.75">
      <c r="C13" s="2">
        <f>IF($B13="","",CONCATENATE(VLOOKUP($B13,seznam!$A$2:$B$269,2)," (",VLOOKUP($B13,seznam!$A$2:$E$269,4),")"))</f>
      </c>
      <c r="D13" s="13"/>
      <c r="E13" s="5" t="str">
        <f>'výsl. čt. žákyně'!X4</f>
        <v>Plíšková Kristýna</v>
      </c>
      <c r="F13" s="8"/>
      <c r="G13" s="83"/>
      <c r="H13" s="83"/>
    </row>
    <row r="14" spans="1:8" ht="12.75">
      <c r="A14" s="2">
        <v>6</v>
      </c>
      <c r="B14" s="5"/>
      <c r="C14" s="5" t="str">
        <f>IF($B14="","bye",CONCATENATE(VLOOKUP($B14,seznam!$A$2:$B$269,2)," (",VLOOKUP($B14,seznam!$A$2:$E$269,4),")"))</f>
        <v>bye</v>
      </c>
      <c r="D14" s="14"/>
      <c r="E14" s="6">
        <f>'výsl. čt. žákyně'!Z4</f>
      </c>
      <c r="F14" s="8" t="str">
        <f>'výsl. čt. žákyně'!V7</f>
        <v>Dreits Anastasiia</v>
      </c>
      <c r="G14" s="83"/>
      <c r="H14" s="83"/>
    </row>
    <row r="15" spans="3:8" ht="12.75">
      <c r="C15" s="2">
        <f>IF($B15="","",CONCATENATE(VLOOKUP($B15,seznam!$A$2:$B$269,2)," (",VLOOKUP($B15,seznam!$A$2:$E$269,4),")"))</f>
      </c>
      <c r="D15" s="15"/>
      <c r="E15" s="8"/>
      <c r="F15" s="10" t="str">
        <f>'výsl. čt. žákyně'!X7</f>
        <v>Hutáková Pavla </v>
      </c>
      <c r="G15" s="83"/>
      <c r="H15" s="83"/>
    </row>
    <row r="16" spans="1:8" ht="12.75">
      <c r="A16" s="2">
        <v>7</v>
      </c>
      <c r="B16" s="5">
        <f>IF(B15="","",VLOOKUP(B15,debl!$B$1:$C$128,2,FALSE))</f>
      </c>
      <c r="C16" s="5" t="str">
        <f>IF($B16="","bye",CONCATENATE(VLOOKUP($B16,seznam!$A$2:$B$269,2)," (",VLOOKUP($B16,seznam!$A$2:$E$269,4),")"))</f>
        <v>bye</v>
      </c>
      <c r="D16" s="12"/>
      <c r="E16" s="8" t="str">
        <f>'výsl. čt. žákyně'!V5</f>
        <v>Dreits Anastasiia</v>
      </c>
      <c r="F16" s="2" t="str">
        <f>'výsl. čt. žákyně'!Z7</f>
        <v>3:0 (3,6,7)</v>
      </c>
      <c r="G16" s="83"/>
      <c r="H16" s="83"/>
    </row>
    <row r="17" spans="2:8" ht="12.75">
      <c r="B17" s="2">
        <v>42</v>
      </c>
      <c r="C17" s="2" t="str">
        <f>IF($B17="","",CONCATENATE(VLOOKUP($B17,seznam!$A$2:$B$269,2)," (",VLOOKUP($B17,seznam!$A$2:$E$269,4),")"))</f>
        <v>Dreits Anastasiia (Tišnov)</v>
      </c>
      <c r="D17" s="13"/>
      <c r="E17" s="7" t="str">
        <f>'výsl. čt. žákyně'!X5</f>
        <v>Hutáková Pavla </v>
      </c>
      <c r="G17" s="83"/>
      <c r="H17" s="83"/>
    </row>
    <row r="18" spans="1:8" ht="12.75">
      <c r="A18" s="2">
        <v>8</v>
      </c>
      <c r="B18" s="5">
        <v>49</v>
      </c>
      <c r="C18" s="5" t="str">
        <f>IF($B18="","bye",CONCATENATE(VLOOKUP($B18,seznam!$A$2:$B$269,2)," (",VLOOKUP($B18,seznam!$A$2:$E$269,4),")"))</f>
        <v>Hutáková Pavla  (Klobouky u Brna)</v>
      </c>
      <c r="D18" s="14"/>
      <c r="E18" s="2">
        <f>'výsl. čt. žákyně'!Z5</f>
      </c>
      <c r="G18" s="83"/>
      <c r="H18" s="86"/>
    </row>
    <row r="19" spans="3:8" ht="12.75">
      <c r="C19" s="2">
        <f>IF($B19="","",CONCATENATE(VLOOKUP($B19,seznam!$A$2:$B$269,2)," (",VLOOKUP($B19,seznam!$A$2:$E$269,4),")"))</f>
      </c>
      <c r="D19" s="15"/>
      <c r="G19" s="83"/>
      <c r="H19" s="86"/>
    </row>
    <row r="20" spans="1:8" ht="12.75">
      <c r="A20" s="83"/>
      <c r="B20" s="83"/>
      <c r="C20" s="83"/>
      <c r="D20" s="89"/>
      <c r="E20" s="83"/>
      <c r="F20" s="83"/>
      <c r="G20" s="83"/>
      <c r="H20" s="83"/>
    </row>
    <row r="21" spans="1:8" ht="12.75">
      <c r="A21" s="83"/>
      <c r="B21" s="83"/>
      <c r="C21" s="83"/>
      <c r="D21" s="89"/>
      <c r="E21" s="83"/>
      <c r="F21" s="83"/>
      <c r="G21" s="83"/>
      <c r="H21" s="83"/>
    </row>
    <row r="22" spans="1:8" ht="12.75">
      <c r="A22" s="83"/>
      <c r="B22" s="83"/>
      <c r="C22" s="83"/>
      <c r="D22" s="89"/>
      <c r="E22" s="83"/>
      <c r="F22" s="83"/>
      <c r="G22" s="83"/>
      <c r="H22" s="83"/>
    </row>
    <row r="23" spans="1:8" ht="12.75">
      <c r="A23" s="83"/>
      <c r="B23" s="83"/>
      <c r="C23" s="83"/>
      <c r="D23" s="89"/>
      <c r="E23" s="83"/>
      <c r="F23" s="83"/>
      <c r="G23" s="83"/>
      <c r="H23" s="83"/>
    </row>
    <row r="24" spans="1:8" ht="12.75">
      <c r="A24" s="83"/>
      <c r="B24" s="83"/>
      <c r="C24" s="83"/>
      <c r="D24" s="89"/>
      <c r="E24" s="83"/>
      <c r="F24" s="83"/>
      <c r="G24" s="83"/>
      <c r="H24" s="83"/>
    </row>
    <row r="25" spans="1:8" ht="12.75">
      <c r="A25" s="83"/>
      <c r="B25" s="83"/>
      <c r="C25" s="83"/>
      <c r="D25" s="89"/>
      <c r="E25" s="83"/>
      <c r="F25" s="83"/>
      <c r="G25" s="83"/>
      <c r="H25" s="83"/>
    </row>
    <row r="26" spans="1:8" ht="12.75">
      <c r="A26" s="83"/>
      <c r="B26" s="83"/>
      <c r="C26" s="83"/>
      <c r="D26" s="89"/>
      <c r="E26" s="83"/>
      <c r="F26" s="83"/>
      <c r="G26" s="83"/>
      <c r="H26" s="83"/>
    </row>
    <row r="27" spans="1:8" ht="12.75">
      <c r="A27" s="83"/>
      <c r="B27" s="83"/>
      <c r="C27" s="83"/>
      <c r="D27" s="89"/>
      <c r="E27" s="83"/>
      <c r="F27" s="83"/>
      <c r="G27" s="83"/>
      <c r="H27" s="83"/>
    </row>
    <row r="28" spans="1:8" ht="12.75">
      <c r="A28" s="83"/>
      <c r="B28" s="83"/>
      <c r="C28" s="83"/>
      <c r="D28" s="89"/>
      <c r="E28" s="83"/>
      <c r="F28" s="83"/>
      <c r="G28" s="83"/>
      <c r="H28" s="83"/>
    </row>
    <row r="29" spans="1:8" ht="12.75">
      <c r="A29" s="83"/>
      <c r="B29" s="83"/>
      <c r="C29" s="83"/>
      <c r="D29" s="89"/>
      <c r="E29" s="83"/>
      <c r="F29" s="83"/>
      <c r="G29" s="83"/>
      <c r="H29" s="83"/>
    </row>
    <row r="30" spans="1:8" ht="12.75">
      <c r="A30" s="83"/>
      <c r="B30" s="83"/>
      <c r="C30" s="83"/>
      <c r="D30" s="89"/>
      <c r="E30" s="83"/>
      <c r="F30" s="83"/>
      <c r="G30" s="83"/>
      <c r="H30" s="83"/>
    </row>
    <row r="31" spans="1:8" ht="12.75">
      <c r="A31" s="83"/>
      <c r="B31" s="83"/>
      <c r="C31" s="83"/>
      <c r="D31" s="89"/>
      <c r="E31" s="83"/>
      <c r="F31" s="83"/>
      <c r="G31" s="83"/>
      <c r="H31" s="83"/>
    </row>
    <row r="32" spans="1:8" ht="12.75">
      <c r="A32" s="83"/>
      <c r="B32" s="83"/>
      <c r="C32" s="83"/>
      <c r="D32" s="89"/>
      <c r="E32" s="83"/>
      <c r="F32" s="83"/>
      <c r="G32" s="83"/>
      <c r="H32" s="83"/>
    </row>
    <row r="33" spans="1:8" ht="12.75">
      <c r="A33" s="83"/>
      <c r="B33" s="83"/>
      <c r="C33" s="83"/>
      <c r="D33" s="89"/>
      <c r="E33" s="83"/>
      <c r="F33" s="83"/>
      <c r="G33" s="83"/>
      <c r="H33" s="83"/>
    </row>
    <row r="34" spans="1:8" ht="12.75">
      <c r="A34" s="83"/>
      <c r="B34" s="83"/>
      <c r="C34" s="83"/>
      <c r="D34" s="89"/>
      <c r="E34" s="83"/>
      <c r="F34" s="83"/>
      <c r="G34" s="83"/>
      <c r="H34" s="86"/>
    </row>
    <row r="35" spans="1:8" ht="12.75">
      <c r="A35" s="83"/>
      <c r="B35" s="83"/>
      <c r="C35" s="83"/>
      <c r="D35" s="89"/>
      <c r="E35" s="83"/>
      <c r="F35" s="83"/>
      <c r="G35" s="83"/>
      <c r="H35" s="86"/>
    </row>
    <row r="36" spans="1:8" ht="12.75">
      <c r="A36" s="83"/>
      <c r="B36" s="83"/>
      <c r="C36" s="83"/>
      <c r="D36" s="89"/>
      <c r="E36" s="83"/>
      <c r="F36" s="83"/>
      <c r="G36" s="83"/>
      <c r="H36" s="83"/>
    </row>
    <row r="37" spans="1:8" ht="12.75">
      <c r="A37" s="83"/>
      <c r="B37" s="83"/>
      <c r="C37" s="83"/>
      <c r="D37" s="89"/>
      <c r="E37" s="83"/>
      <c r="F37" s="83"/>
      <c r="G37" s="83"/>
      <c r="H37" s="83"/>
    </row>
    <row r="38" spans="1:8" ht="12.75">
      <c r="A38" s="83"/>
      <c r="B38" s="83"/>
      <c r="C38" s="83"/>
      <c r="D38" s="89"/>
      <c r="E38" s="83"/>
      <c r="F38" s="83"/>
      <c r="G38" s="83"/>
      <c r="H38" s="83"/>
    </row>
    <row r="39" spans="1:8" ht="12.75">
      <c r="A39" s="83"/>
      <c r="B39" s="83"/>
      <c r="C39" s="83"/>
      <c r="D39" s="89"/>
      <c r="E39" s="83"/>
      <c r="F39" s="83"/>
      <c r="G39" s="83"/>
      <c r="H39" s="83"/>
    </row>
    <row r="40" spans="1:8" ht="12.75">
      <c r="A40" s="83"/>
      <c r="B40" s="83"/>
      <c r="C40" s="83"/>
      <c r="D40" s="89"/>
      <c r="E40" s="83"/>
      <c r="F40" s="83"/>
      <c r="G40" s="83"/>
      <c r="H40" s="83"/>
    </row>
    <row r="41" spans="1:8" ht="12.75">
      <c r="A41" s="83"/>
      <c r="B41" s="83"/>
      <c r="C41" s="83"/>
      <c r="D41" s="89"/>
      <c r="E41" s="83"/>
      <c r="F41" s="83"/>
      <c r="G41" s="83"/>
      <c r="H41" s="83"/>
    </row>
    <row r="42" spans="1:8" ht="12.75">
      <c r="A42" s="83"/>
      <c r="B42" s="83"/>
      <c r="C42" s="83"/>
      <c r="D42" s="89"/>
      <c r="E42" s="83"/>
      <c r="F42" s="83"/>
      <c r="G42" s="83"/>
      <c r="H42" s="83"/>
    </row>
    <row r="43" spans="1:8" ht="12.75">
      <c r="A43" s="83"/>
      <c r="B43" s="83"/>
      <c r="C43" s="83"/>
      <c r="D43" s="89"/>
      <c r="E43" s="83"/>
      <c r="F43" s="83"/>
      <c r="G43" s="83"/>
      <c r="H43" s="83"/>
    </row>
    <row r="44" spans="1:8" ht="12.75">
      <c r="A44" s="83"/>
      <c r="B44" s="83"/>
      <c r="C44" s="83"/>
      <c r="D44" s="89"/>
      <c r="E44" s="83"/>
      <c r="F44" s="83"/>
      <c r="G44" s="83"/>
      <c r="H44" s="83"/>
    </row>
    <row r="45" spans="1:8" ht="12.75">
      <c r="A45" s="83"/>
      <c r="B45" s="83"/>
      <c r="C45" s="83"/>
      <c r="D45" s="89"/>
      <c r="E45" s="83"/>
      <c r="F45" s="83"/>
      <c r="G45" s="83"/>
      <c r="H45" s="83"/>
    </row>
    <row r="46" spans="1:8" ht="12.75">
      <c r="A46" s="83"/>
      <c r="B46" s="83"/>
      <c r="C46" s="83"/>
      <c r="D46" s="89"/>
      <c r="E46" s="83"/>
      <c r="F46" s="83"/>
      <c r="G46" s="83"/>
      <c r="H46" s="83"/>
    </row>
    <row r="47" spans="1:8" ht="12.75">
      <c r="A47" s="83"/>
      <c r="B47" s="83"/>
      <c r="C47" s="83"/>
      <c r="D47" s="89"/>
      <c r="E47" s="83"/>
      <c r="F47" s="83"/>
      <c r="G47" s="83"/>
      <c r="H47" s="83"/>
    </row>
    <row r="48" spans="1:8" ht="12.75">
      <c r="A48" s="83"/>
      <c r="B48" s="83"/>
      <c r="C48" s="83"/>
      <c r="D48" s="89"/>
      <c r="E48" s="83"/>
      <c r="F48" s="83"/>
      <c r="G48" s="83"/>
      <c r="H48" s="83"/>
    </row>
    <row r="49" spans="1:8" ht="12.75">
      <c r="A49" s="83"/>
      <c r="B49" s="83"/>
      <c r="C49" s="83"/>
      <c r="D49" s="89"/>
      <c r="E49" s="83"/>
      <c r="F49" s="83"/>
      <c r="G49" s="83"/>
      <c r="H49" s="83"/>
    </row>
    <row r="50" spans="1:8" ht="12.75">
      <c r="A50" s="83"/>
      <c r="B50" s="83"/>
      <c r="C50" s="83"/>
      <c r="D50" s="89"/>
      <c r="E50" s="83"/>
      <c r="F50" s="83"/>
      <c r="G50" s="83"/>
      <c r="H50" s="86"/>
    </row>
    <row r="51" spans="1:8" ht="12.75">
      <c r="A51" s="83"/>
      <c r="B51" s="83"/>
      <c r="C51" s="83"/>
      <c r="D51" s="89"/>
      <c r="E51" s="83"/>
      <c r="F51" s="83"/>
      <c r="G51" s="83"/>
      <c r="H51" s="86"/>
    </row>
    <row r="52" spans="1:8" ht="12.75">
      <c r="A52" s="83"/>
      <c r="B52" s="83"/>
      <c r="C52" s="83"/>
      <c r="D52" s="89"/>
      <c r="E52" s="83"/>
      <c r="F52" s="83"/>
      <c r="G52" s="83"/>
      <c r="H52" s="83"/>
    </row>
    <row r="53" spans="1:8" ht="12.75">
      <c r="A53" s="83"/>
      <c r="B53" s="83"/>
      <c r="C53" s="83"/>
      <c r="D53" s="89"/>
      <c r="E53" s="83"/>
      <c r="F53" s="83"/>
      <c r="G53" s="83"/>
      <c r="H53" s="83"/>
    </row>
    <row r="54" spans="1:8" ht="12.75">
      <c r="A54" s="83"/>
      <c r="B54" s="83"/>
      <c r="C54" s="83"/>
      <c r="D54" s="89"/>
      <c r="E54" s="83"/>
      <c r="F54" s="83"/>
      <c r="G54" s="83"/>
      <c r="H54" s="83"/>
    </row>
    <row r="55" spans="1:8" ht="12.75">
      <c r="A55" s="83"/>
      <c r="B55" s="83"/>
      <c r="C55" s="83"/>
      <c r="D55" s="89"/>
      <c r="E55" s="83"/>
      <c r="F55" s="83"/>
      <c r="G55" s="83"/>
      <c r="H55" s="83"/>
    </row>
    <row r="56" spans="1:8" ht="12.75">
      <c r="A56" s="83"/>
      <c r="B56" s="83"/>
      <c r="C56" s="83"/>
      <c r="D56" s="89"/>
      <c r="E56" s="83"/>
      <c r="F56" s="83"/>
      <c r="G56" s="83"/>
      <c r="H56" s="83"/>
    </row>
    <row r="57" spans="1:8" ht="12.75">
      <c r="A57" s="83"/>
      <c r="B57" s="83"/>
      <c r="C57" s="83"/>
      <c r="D57" s="89"/>
      <c r="E57" s="83"/>
      <c r="F57" s="83"/>
      <c r="G57" s="83"/>
      <c r="H57" s="83"/>
    </row>
    <row r="58" spans="1:8" ht="12.75">
      <c r="A58" s="83"/>
      <c r="B58" s="83"/>
      <c r="C58" s="83"/>
      <c r="D58" s="89"/>
      <c r="E58" s="83"/>
      <c r="F58" s="83"/>
      <c r="G58" s="83"/>
      <c r="H58" s="83"/>
    </row>
    <row r="59" spans="1:8" ht="12.75">
      <c r="A59" s="83"/>
      <c r="B59" s="83"/>
      <c r="C59" s="83"/>
      <c r="D59" s="89"/>
      <c r="E59" s="83"/>
      <c r="F59" s="83"/>
      <c r="G59" s="83"/>
      <c r="H59" s="83"/>
    </row>
    <row r="60" spans="1:8" ht="12.75">
      <c r="A60" s="83"/>
      <c r="B60" s="83"/>
      <c r="C60" s="83"/>
      <c r="D60" s="89"/>
      <c r="E60" s="83"/>
      <c r="F60" s="83"/>
      <c r="G60" s="83"/>
      <c r="H60" s="83"/>
    </row>
    <row r="61" spans="1:8" ht="12.75">
      <c r="A61" s="83"/>
      <c r="B61" s="83"/>
      <c r="C61" s="83"/>
      <c r="D61" s="89"/>
      <c r="E61" s="83"/>
      <c r="F61" s="83"/>
      <c r="G61" s="83"/>
      <c r="H61" s="83"/>
    </row>
    <row r="62" spans="1:8" ht="12.75">
      <c r="A62" s="83"/>
      <c r="B62" s="83"/>
      <c r="C62" s="83"/>
      <c r="D62" s="89"/>
      <c r="E62" s="83"/>
      <c r="F62" s="83"/>
      <c r="G62" s="83"/>
      <c r="H62" s="83"/>
    </row>
    <row r="63" spans="1:8" ht="12.75">
      <c r="A63" s="83"/>
      <c r="B63" s="83"/>
      <c r="C63" s="83"/>
      <c r="D63" s="89"/>
      <c r="E63" s="83"/>
      <c r="F63" s="83"/>
      <c r="G63" s="83"/>
      <c r="H63" s="83"/>
    </row>
    <row r="64" spans="1:8" ht="12.75">
      <c r="A64" s="83"/>
      <c r="B64" s="83"/>
      <c r="C64" s="83"/>
      <c r="D64" s="89"/>
      <c r="E64" s="83"/>
      <c r="F64" s="83"/>
      <c r="G64" s="83"/>
      <c r="H64" s="83"/>
    </row>
    <row r="65" spans="1:8" ht="12.75">
      <c r="A65" s="83"/>
      <c r="B65" s="83"/>
      <c r="C65" s="83"/>
      <c r="D65" s="89"/>
      <c r="E65" s="83"/>
      <c r="F65" s="83"/>
      <c r="G65" s="83"/>
      <c r="H65" s="83"/>
    </row>
    <row r="66" spans="1:8" ht="12.75">
      <c r="A66" s="83"/>
      <c r="B66" s="83"/>
      <c r="C66" s="83"/>
      <c r="D66" s="89"/>
      <c r="E66" s="83"/>
      <c r="F66" s="83"/>
      <c r="G66" s="83"/>
      <c r="H66" s="86"/>
    </row>
    <row r="67" spans="1:8" ht="12.75">
      <c r="A67" s="83"/>
      <c r="B67" s="83"/>
      <c r="C67" s="83"/>
      <c r="D67" s="89"/>
      <c r="E67" s="83"/>
      <c r="F67" s="83"/>
      <c r="G67" s="83"/>
      <c r="H67" s="86"/>
    </row>
    <row r="68" spans="7:8" ht="12.75">
      <c r="G68" s="83"/>
      <c r="H68" s="86"/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fitToHeight="0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8"/>
  <sheetViews>
    <sheetView zoomScalePageLayoutView="0" workbookViewId="0" topLeftCell="E1">
      <pane ySplit="1" topLeftCell="A2" activePane="bottomLeft" state="frozen"/>
      <selection pane="topLeft" activeCell="H19" sqref="H19"/>
      <selection pane="bottomLeft" activeCell="P9" sqref="P9"/>
    </sheetView>
  </sheetViews>
  <sheetFormatPr defaultColWidth="9.125" defaultRowHeight="12.75"/>
  <cols>
    <col min="1" max="1" width="19.50390625" style="2" customWidth="1"/>
    <col min="2" max="2" width="4.50390625" style="2" bestFit="1" customWidth="1"/>
    <col min="3" max="3" width="16.00390625" style="2" bestFit="1" customWidth="1"/>
    <col min="4" max="4" width="7.00390625" style="2" bestFit="1" customWidth="1"/>
    <col min="5" max="5" width="4.50390625" style="2" bestFit="1" customWidth="1"/>
    <col min="6" max="6" width="16.00390625" style="2" bestFit="1" customWidth="1"/>
    <col min="7" max="7" width="7.00390625" style="2" bestFit="1" customWidth="1"/>
    <col min="8" max="8" width="4.875" style="2" bestFit="1" customWidth="1"/>
    <col min="9" max="9" width="16.00390625" style="2" bestFit="1" customWidth="1"/>
    <col min="10" max="10" width="7.00390625" style="2" bestFit="1" customWidth="1"/>
    <col min="11" max="11" width="4.875" style="2" bestFit="1" customWidth="1"/>
    <col min="12" max="12" width="14.50390625" style="2" bestFit="1" customWidth="1"/>
    <col min="13" max="13" width="7.00390625" style="2" bestFit="1" customWidth="1"/>
    <col min="14" max="15" width="3.875" style="2" customWidth="1"/>
    <col min="16" max="20" width="4.375" style="2" customWidth="1"/>
    <col min="21" max="21" width="4.50390625" style="2" bestFit="1" customWidth="1"/>
    <col min="22" max="22" width="12.00390625" style="2" customWidth="1"/>
    <col min="23" max="23" width="4.125" style="2" customWidth="1"/>
    <col min="24" max="24" width="11.00390625" style="2" customWidth="1"/>
    <col min="25" max="25" width="3.125" style="2" customWidth="1"/>
    <col min="26" max="26" width="21.625" style="2" bestFit="1" customWidth="1"/>
    <col min="27" max="27" width="2.625" style="2" customWidth="1"/>
    <col min="28" max="32" width="4.125" style="2" customWidth="1"/>
    <col min="33" max="16384" width="9.125" style="2" customWidth="1"/>
  </cols>
  <sheetData>
    <row r="1" spans="2:21" ht="13.5" thickBot="1">
      <c r="B1" s="1" t="s">
        <v>0</v>
      </c>
      <c r="C1" s="1" t="s">
        <v>1</v>
      </c>
      <c r="D1" s="1" t="s">
        <v>2</v>
      </c>
      <c r="E1" s="1" t="s">
        <v>0</v>
      </c>
      <c r="F1" s="1" t="s">
        <v>3</v>
      </c>
      <c r="G1" s="1" t="s">
        <v>2</v>
      </c>
      <c r="H1" s="1" t="s">
        <v>0</v>
      </c>
      <c r="I1" s="1" t="s">
        <v>14</v>
      </c>
      <c r="J1" s="1" t="s">
        <v>2</v>
      </c>
      <c r="K1" s="1" t="s">
        <v>0</v>
      </c>
      <c r="L1" s="1" t="s">
        <v>15</v>
      </c>
      <c r="M1" s="1" t="s">
        <v>2</v>
      </c>
      <c r="N1" s="24" t="s">
        <v>4</v>
      </c>
      <c r="O1" s="24" t="s">
        <v>5</v>
      </c>
      <c r="P1" s="24" t="s">
        <v>6</v>
      </c>
      <c r="Q1" s="24" t="s">
        <v>7</v>
      </c>
      <c r="R1" s="24" t="s">
        <v>8</v>
      </c>
      <c r="S1" s="1" t="s">
        <v>9</v>
      </c>
      <c r="T1" s="1" t="s">
        <v>10</v>
      </c>
      <c r="U1" s="1" t="s">
        <v>11</v>
      </c>
    </row>
    <row r="2" spans="1:32" ht="14.25" thickBot="1" thickTop="1">
      <c r="A2" s="2" t="e">
        <f>CONCATENATE("Čtyřhra ",#REF!," - 1.kolo")</f>
        <v>#REF!</v>
      </c>
      <c r="B2" s="2">
        <f>'čt. žákyně'!$B$3</f>
        <v>41</v>
      </c>
      <c r="C2" s="22" t="str">
        <f>IF($B2=0,"bye",VLOOKUP($B2,seznam!$A$2:$D$269,2))</f>
        <v>Sobotíková Monika</v>
      </c>
      <c r="D2" s="2" t="str">
        <f>IF($B2=0,"",VLOOKUP($B2,seznam!$A$2:$D$269,4))</f>
        <v>MS Brno</v>
      </c>
      <c r="E2" s="2">
        <f>'čt. žákyně'!$B$4</f>
        <v>43</v>
      </c>
      <c r="F2" s="22" t="str">
        <f>IF($E2="","bye",VLOOKUP($E2,seznam!$A$2:$D$269,2))</f>
        <v>Pilitowská Lea</v>
      </c>
      <c r="G2" s="2" t="str">
        <f>IF($E2="","",VLOOKUP($E2,seznam!$A$2:$D$269,4))</f>
        <v>KST Blansko</v>
      </c>
      <c r="H2" s="2">
        <f>'čt. žákyně'!$B$5</f>
        <v>0</v>
      </c>
      <c r="I2" s="23" t="str">
        <f>IF($H2=0,"bye",VLOOKUP($H2,seznam!$A$2:$D$269,2))</f>
        <v>bye</v>
      </c>
      <c r="J2" s="2">
        <f>IF($H2=0,"",VLOOKUP($H2,seznam!$A$2:$D$269,4))</f>
      </c>
      <c r="K2" s="2">
        <f>'čt. žákyně'!$B$6</f>
      </c>
      <c r="L2" s="23" t="str">
        <f>IF($K2="","bye",VLOOKUP($K2,seznam!$A$2:$D$269,2))</f>
        <v>bye</v>
      </c>
      <c r="M2" s="2">
        <f>IF($K2="","",VLOOKUP($K2,seznam!$A$2:$D$269,4))</f>
      </c>
      <c r="N2" s="66" t="s">
        <v>117</v>
      </c>
      <c r="O2" s="67"/>
      <c r="P2" s="67"/>
      <c r="Q2" s="67"/>
      <c r="R2" s="68"/>
      <c r="S2" s="2">
        <f aca="true" t="shared" si="0" ref="S2:S8">COUNTIF(AB2:AF2,"&gt;0")</f>
        <v>1</v>
      </c>
      <c r="T2" s="2">
        <f aca="true" t="shared" si="1" ref="T2:T8">COUNTIF(AB2:AF2,"&lt;0")</f>
        <v>0</v>
      </c>
      <c r="U2" s="2">
        <f aca="true" t="shared" si="2" ref="U2:U8">IF(S2=T2,0,IF(S2&gt;T2,B2,H2))</f>
        <v>41</v>
      </c>
      <c r="V2" s="2" t="str">
        <f>IF($U2=0,"",VLOOKUP($U2,seznam!$A$2:$D$269,2))</f>
        <v>Sobotíková Monika</v>
      </c>
      <c r="W2" s="2">
        <f aca="true" t="shared" si="3" ref="W2:W8">IF(S2=T2,0,IF(S2&gt;T2,E2,K2))</f>
        <v>43</v>
      </c>
      <c r="X2" s="2" t="str">
        <f>IF($W2=0,"",VLOOKUP($W2,seznam!$A$2:$D$269,2))</f>
        <v>Pilitowská Lea</v>
      </c>
      <c r="Y2" s="2" t="str">
        <f aca="true" t="shared" si="4" ref="Y2:Y8">IF(S2=T2,"",IF(S2&gt;T2,CONCATENATE(S2,":",T2," (",N2,",",O2,",",P2,IF(SUM(S2:T2)&gt;3,",",""),Q2,IF(SUM(S2:T2)&gt;4,",",""),R2,")"),CONCATENATE(T2,":",S2," (",-N2,",",-O2,",",-P2,IF(SUM(S2:T2)&gt;3,",",""),IF(SUM(S2:T2)&gt;3,-Q2,""),IF(SUM(S2:T2)&gt;4,",",""),IF(SUM(S2:T2)&gt;4,-R2,""),")")))</f>
        <v>1:0 (W.O.,,)</v>
      </c>
      <c r="Z2" s="2">
        <f aca="true" t="shared" si="5" ref="Z2:Z8">IF(MAX(S2:T2)=3,Y2,"")</f>
      </c>
      <c r="AB2" s="25">
        <f aca="true" t="shared" si="6" ref="AB2:AF8">IF(N2="",0,IF(MID(N2,1,1)="-",-1,1))</f>
        <v>1</v>
      </c>
      <c r="AC2" s="25">
        <f t="shared" si="6"/>
        <v>0</v>
      </c>
      <c r="AD2" s="25">
        <f t="shared" si="6"/>
        <v>0</v>
      </c>
      <c r="AE2" s="25">
        <f t="shared" si="6"/>
        <v>0</v>
      </c>
      <c r="AF2" s="25">
        <f t="shared" si="6"/>
        <v>0</v>
      </c>
    </row>
    <row r="3" spans="1:32" ht="14.25" thickBot="1" thickTop="1">
      <c r="A3" s="2" t="e">
        <f>CONCATENATE("Čtyřhra ",#REF!," - 1.kolo")</f>
        <v>#REF!</v>
      </c>
      <c r="B3" s="2">
        <f>'čt. žákyně'!$B$7</f>
        <v>0</v>
      </c>
      <c r="C3" s="22" t="str">
        <f>IF($B3=0,"bye",VLOOKUP($B3,seznam!$A$2:$D$269,2))</f>
        <v>bye</v>
      </c>
      <c r="D3" s="2">
        <f>IF($B3=0,"",VLOOKUP($B3,seznam!$A$2:$D$269,4))</f>
      </c>
      <c r="E3" s="2">
        <f>'čt. žákyně'!$B$8</f>
        <v>0</v>
      </c>
      <c r="F3" s="22" t="e">
        <f>IF($E3="","bye",VLOOKUP($E3,seznam!$A$2:$D$269,2))</f>
        <v>#N/A</v>
      </c>
      <c r="G3" s="2" t="e">
        <f>IF($E3="","",VLOOKUP($E3,seznam!$A$2:$D$269,4))</f>
        <v>#N/A</v>
      </c>
      <c r="H3" s="2">
        <f>'čt. žákyně'!$B$9</f>
        <v>0</v>
      </c>
      <c r="I3" s="23" t="str">
        <f>IF($H3=0,"bye",VLOOKUP($H3,seznam!$A$2:$D$269,2))</f>
        <v>bye</v>
      </c>
      <c r="J3" s="2">
        <f>IF($H3=0,"",VLOOKUP($H3,seznam!$A$2:$D$269,4))</f>
      </c>
      <c r="K3" s="2">
        <f>'čt. žákyně'!$B$10</f>
        <v>0</v>
      </c>
      <c r="L3" s="23" t="e">
        <f>IF($K3="","bye",VLOOKUP($K3,seznam!$A$2:$D$269,2))</f>
        <v>#N/A</v>
      </c>
      <c r="M3" s="2" t="e">
        <f>IF($K3="","",VLOOKUP($K3,seznam!$A$2:$D$269,4))</f>
        <v>#N/A</v>
      </c>
      <c r="N3" s="66" t="s">
        <v>117</v>
      </c>
      <c r="O3" s="70"/>
      <c r="P3" s="70"/>
      <c r="Q3" s="70"/>
      <c r="R3" s="71"/>
      <c r="S3" s="2">
        <f t="shared" si="0"/>
        <v>1</v>
      </c>
      <c r="T3" s="2">
        <f t="shared" si="1"/>
        <v>0</v>
      </c>
      <c r="U3" s="2">
        <f t="shared" si="2"/>
        <v>0</v>
      </c>
      <c r="V3" s="2">
        <f>IF($U3=0,"",VLOOKUP($U3,seznam!$A$2:$D$269,2))</f>
      </c>
      <c r="W3" s="2">
        <f t="shared" si="3"/>
        <v>0</v>
      </c>
      <c r="X3" s="2">
        <f>IF($W3=0,"",VLOOKUP($W3,seznam!$A$2:$D$269,2))</f>
      </c>
      <c r="Y3" s="2" t="str">
        <f t="shared" si="4"/>
        <v>1:0 (W.O.,,)</v>
      </c>
      <c r="Z3" s="2">
        <f t="shared" si="5"/>
      </c>
      <c r="AB3" s="25">
        <f t="shared" si="6"/>
        <v>1</v>
      </c>
      <c r="AC3" s="25">
        <f t="shared" si="6"/>
        <v>0</v>
      </c>
      <c r="AD3" s="25">
        <f t="shared" si="6"/>
        <v>0</v>
      </c>
      <c r="AE3" s="25">
        <f t="shared" si="6"/>
        <v>0</v>
      </c>
      <c r="AF3" s="25">
        <f t="shared" si="6"/>
        <v>0</v>
      </c>
    </row>
    <row r="4" spans="1:32" ht="13.5" thickTop="1">
      <c r="A4" s="2" t="e">
        <f>CONCATENATE("Čtyřhra ",#REF!," - 1.kolo")</f>
        <v>#REF!</v>
      </c>
      <c r="B4" s="2">
        <f>'čt. žákyně'!$B$11</f>
        <v>46</v>
      </c>
      <c r="C4" s="22" t="str">
        <f>IF($B4=0,"bye",VLOOKUP($B4,seznam!$A$2:$D$269,2))</f>
        <v>Plíšková Kateřina</v>
      </c>
      <c r="D4" s="2" t="str">
        <f>IF($B4=0,"",VLOOKUP($B4,seznam!$A$2:$D$269,4))</f>
        <v>MS Brno</v>
      </c>
      <c r="E4" s="2">
        <f>'čt. žákyně'!$B$12</f>
        <v>47</v>
      </c>
      <c r="F4" s="22" t="str">
        <f>IF($E4="","bye",VLOOKUP($E4,seznam!$A$2:$D$269,2))</f>
        <v>Plíšková Kristýna</v>
      </c>
      <c r="G4" s="2" t="str">
        <f>IF($E4="","",VLOOKUP($E4,seznam!$A$2:$D$269,4))</f>
        <v>MS Brno</v>
      </c>
      <c r="H4" s="2">
        <f>'čt. žákyně'!$B$13</f>
        <v>0</v>
      </c>
      <c r="I4" s="23" t="str">
        <f>IF($H4=0,"bye",VLOOKUP($H4,seznam!$A$2:$D$269,2))</f>
        <v>bye</v>
      </c>
      <c r="J4" s="2">
        <f>IF($H4=0,"",VLOOKUP($H4,seznam!$A$2:$D$269,4))</f>
      </c>
      <c r="K4" s="2">
        <f>'čt. žákyně'!$B$14</f>
        <v>0</v>
      </c>
      <c r="L4" s="23" t="e">
        <f>IF($K4="","bye",VLOOKUP($K4,seznam!$A$2:$D$269,2))</f>
        <v>#N/A</v>
      </c>
      <c r="M4" s="2" t="e">
        <f>IF($K4="","",VLOOKUP($K4,seznam!$A$2:$D$269,4))</f>
        <v>#N/A</v>
      </c>
      <c r="N4" s="66" t="s">
        <v>117</v>
      </c>
      <c r="O4" s="70"/>
      <c r="P4" s="70"/>
      <c r="Q4" s="70"/>
      <c r="R4" s="71"/>
      <c r="S4" s="2">
        <f t="shared" si="0"/>
        <v>1</v>
      </c>
      <c r="T4" s="2">
        <f t="shared" si="1"/>
        <v>0</v>
      </c>
      <c r="U4" s="2">
        <f t="shared" si="2"/>
        <v>46</v>
      </c>
      <c r="V4" s="2" t="str">
        <f>IF($U4=0,"",VLOOKUP($U4,seznam!$A$2:$D$269,2))</f>
        <v>Plíšková Kateřina</v>
      </c>
      <c r="W4" s="2">
        <f t="shared" si="3"/>
        <v>47</v>
      </c>
      <c r="X4" s="2" t="str">
        <f>IF($W4=0,"",VLOOKUP($W4,seznam!$A$2:$D$269,2))</f>
        <v>Plíšková Kristýna</v>
      </c>
      <c r="Y4" s="2" t="str">
        <f t="shared" si="4"/>
        <v>1:0 (W.O.,,)</v>
      </c>
      <c r="Z4" s="2">
        <f t="shared" si="5"/>
      </c>
      <c r="AB4" s="25">
        <f t="shared" si="6"/>
        <v>1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</row>
    <row r="5" spans="1:32" ht="13.5" thickBot="1">
      <c r="A5" s="2" t="e">
        <f>CONCATENATE("Čtyřhra ",#REF!," - 1.kolo")</f>
        <v>#REF!</v>
      </c>
      <c r="B5" s="2">
        <f>'čt. žákyně'!$B$15</f>
        <v>0</v>
      </c>
      <c r="C5" s="22" t="str">
        <f>IF($B5=0,"bye",VLOOKUP($B5,seznam!$A$2:$D$269,2))</f>
        <v>bye</v>
      </c>
      <c r="D5" s="2">
        <f>IF($B5=0,"",VLOOKUP($B5,seznam!$A$2:$D$269,4))</f>
      </c>
      <c r="E5" s="2">
        <f>'čt. žákyně'!$B$16</f>
      </c>
      <c r="F5" s="22" t="str">
        <f>IF($E5="","bye",VLOOKUP($E5,seznam!$A$2:$D$269,2))</f>
        <v>bye</v>
      </c>
      <c r="G5" s="2">
        <f>IF($E5="","",VLOOKUP($E5,seznam!$A$2:$D$269,4))</f>
      </c>
      <c r="H5" s="2">
        <f>'čt. žákyně'!$B$17</f>
        <v>42</v>
      </c>
      <c r="I5" s="23" t="str">
        <f>IF($H5=0,"bye",VLOOKUP($H5,seznam!$A$2:$D$269,2))</f>
        <v>Dreits Anastasiia</v>
      </c>
      <c r="J5" s="2" t="str">
        <f>IF($H5=0,"",VLOOKUP($H5,seznam!$A$2:$D$269,4))</f>
        <v>Tišnov</v>
      </c>
      <c r="K5" s="2">
        <f>'čt. žákyně'!$B$18</f>
        <v>49</v>
      </c>
      <c r="L5" s="23" t="str">
        <f>IF($K5="","bye",VLOOKUP($K5,seznam!$A$2:$D$269,2))</f>
        <v>Hutáková Pavla </v>
      </c>
      <c r="M5" s="2" t="str">
        <f>IF($K5="","",VLOOKUP($K5,seznam!$A$2:$D$269,4))</f>
        <v>Klobouky u Brna</v>
      </c>
      <c r="N5" s="69" t="s">
        <v>118</v>
      </c>
      <c r="O5" s="70"/>
      <c r="P5" s="70"/>
      <c r="Q5" s="70"/>
      <c r="R5" s="71"/>
      <c r="S5" s="2">
        <f t="shared" si="0"/>
        <v>0</v>
      </c>
      <c r="T5" s="2">
        <f t="shared" si="1"/>
        <v>1</v>
      </c>
      <c r="U5" s="2">
        <f t="shared" si="2"/>
        <v>42</v>
      </c>
      <c r="V5" s="2" t="str">
        <f>IF($U5=0,"",VLOOKUP($U5,seznam!$A$2:$D$269,2))</f>
        <v>Dreits Anastasiia</v>
      </c>
      <c r="W5" s="2">
        <f t="shared" si="3"/>
        <v>49</v>
      </c>
      <c r="X5" s="2" t="str">
        <f>IF($W5=0,"",VLOOKUP($W5,seznam!$A$2:$D$269,2))</f>
        <v>Hutáková Pavla </v>
      </c>
      <c r="Y5" s="2" t="str">
        <f t="shared" si="4"/>
        <v>1:0 (0,0,0)</v>
      </c>
      <c r="Z5" s="2">
        <f t="shared" si="5"/>
      </c>
      <c r="AB5" s="25">
        <f t="shared" si="6"/>
        <v>-1</v>
      </c>
      <c r="AC5" s="25">
        <f t="shared" si="6"/>
        <v>0</v>
      </c>
      <c r="AD5" s="25">
        <f t="shared" si="6"/>
        <v>0</v>
      </c>
      <c r="AE5" s="25">
        <f t="shared" si="6"/>
        <v>0</v>
      </c>
      <c r="AF5" s="25">
        <f t="shared" si="6"/>
        <v>0</v>
      </c>
    </row>
    <row r="6" spans="1:32" ht="13.5" thickTop="1">
      <c r="A6" s="2" t="e">
        <f>CONCATENATE("Čtyřhra ",#REF!," - 2.kolo")</f>
        <v>#REF!</v>
      </c>
      <c r="B6" s="2">
        <f>U2</f>
        <v>41</v>
      </c>
      <c r="C6" s="22" t="str">
        <f>IF($B6=0,"",VLOOKUP($B6,seznam!$A$2:$D$269,2))</f>
        <v>Sobotíková Monika</v>
      </c>
      <c r="D6" s="2" t="str">
        <f>IF($B6=0,"",VLOOKUP($B6,seznam!$A$2:$D$269,4))</f>
        <v>MS Brno</v>
      </c>
      <c r="E6" s="2">
        <f>W2</f>
        <v>43</v>
      </c>
      <c r="F6" s="22" t="str">
        <f>IF($E6=0,"",VLOOKUP($E6,seznam!$A$2:$D$269,2))</f>
        <v>Pilitowská Lea</v>
      </c>
      <c r="G6" s="2" t="str">
        <f>IF($E6=0,"",VLOOKUP($E6,seznam!$A$2:$D$269,4))</f>
        <v>KST Blansko</v>
      </c>
      <c r="H6" s="2">
        <f>U3</f>
        <v>0</v>
      </c>
      <c r="I6" s="23">
        <f>IF($H6=0,"",VLOOKUP($H6,seznam!$A$2:$D$269,2))</f>
      </c>
      <c r="J6" s="2">
        <f>IF($H6=0,"",VLOOKUP($H6,seznam!$A$2:$D$269,4))</f>
      </c>
      <c r="K6" s="2">
        <f>W3</f>
        <v>0</v>
      </c>
      <c r="L6" s="23">
        <f>IF($K6=0,"",VLOOKUP($K6,seznam!$A$2:$D$269,2))</f>
      </c>
      <c r="M6" s="2">
        <f>IF($K6=0,"",VLOOKUP($K6,seznam!$A$2:$D$269,4))</f>
      </c>
      <c r="N6" s="66" t="s">
        <v>117</v>
      </c>
      <c r="O6" s="67"/>
      <c r="P6" s="67"/>
      <c r="Q6" s="67"/>
      <c r="R6" s="68"/>
      <c r="S6" s="2">
        <f t="shared" si="0"/>
        <v>1</v>
      </c>
      <c r="T6" s="2">
        <f t="shared" si="1"/>
        <v>0</v>
      </c>
      <c r="U6" s="2">
        <f t="shared" si="2"/>
        <v>41</v>
      </c>
      <c r="V6" s="2" t="str">
        <f>IF($U6=0,"",VLOOKUP($U6,seznam!$A$2:$D$269,2))</f>
        <v>Sobotíková Monika</v>
      </c>
      <c r="W6" s="2">
        <f t="shared" si="3"/>
        <v>43</v>
      </c>
      <c r="X6" s="2" t="str">
        <f>IF($W6=0,"",VLOOKUP($W6,seznam!$A$2:$D$269,2))</f>
        <v>Pilitowská Lea</v>
      </c>
      <c r="Y6" s="2" t="str">
        <f t="shared" si="4"/>
        <v>1:0 (W.O.,,)</v>
      </c>
      <c r="Z6" s="2">
        <f t="shared" si="5"/>
      </c>
      <c r="AB6" s="25">
        <f t="shared" si="6"/>
        <v>1</v>
      </c>
      <c r="AC6" s="25">
        <f t="shared" si="6"/>
        <v>0</v>
      </c>
      <c r="AD6" s="25">
        <f t="shared" si="6"/>
        <v>0</v>
      </c>
      <c r="AE6" s="25">
        <f t="shared" si="6"/>
        <v>0</v>
      </c>
      <c r="AF6" s="25">
        <f t="shared" si="6"/>
        <v>0</v>
      </c>
    </row>
    <row r="7" spans="1:32" ht="13.5" thickBot="1">
      <c r="A7" s="2" t="e">
        <f>CONCATENATE("Čtyřhra ",#REF!," - 2.kolo")</f>
        <v>#REF!</v>
      </c>
      <c r="B7" s="2">
        <f>U4</f>
        <v>46</v>
      </c>
      <c r="C7" s="22" t="str">
        <f>IF($B7=0,"",VLOOKUP($B7,seznam!$A$2:$D$269,2))</f>
        <v>Plíšková Kateřina</v>
      </c>
      <c r="D7" s="2" t="str">
        <f>IF($B7=0,"",VLOOKUP($B7,seznam!$A$2:$D$269,4))</f>
        <v>MS Brno</v>
      </c>
      <c r="E7" s="2">
        <f>W4</f>
        <v>47</v>
      </c>
      <c r="F7" s="22" t="str">
        <f>IF($E7=0,"",VLOOKUP($E7,seznam!$A$2:$D$269,2))</f>
        <v>Plíšková Kristýna</v>
      </c>
      <c r="G7" s="2" t="str">
        <f>IF($E7=0,"",VLOOKUP($E7,seznam!$A$2:$D$269,4))</f>
        <v>MS Brno</v>
      </c>
      <c r="H7" s="2">
        <f>U5</f>
        <v>42</v>
      </c>
      <c r="I7" s="23" t="str">
        <f>IF($H7=0,"",VLOOKUP($H7,seznam!$A$2:$D$269,2))</f>
        <v>Dreits Anastasiia</v>
      </c>
      <c r="J7" s="2" t="str">
        <f>IF($H7=0,"",VLOOKUP($H7,seznam!$A$2:$D$269,4))</f>
        <v>Tišnov</v>
      </c>
      <c r="K7" s="2">
        <f>W5</f>
        <v>49</v>
      </c>
      <c r="L7" s="23" t="str">
        <f>IF($K7=0,"",VLOOKUP($K7,seznam!$A$2:$D$269,2))</f>
        <v>Hutáková Pavla </v>
      </c>
      <c r="M7" s="2" t="str">
        <f>IF($K7=0,"",VLOOKUP($K7,seznam!$A$2:$D$269,4))</f>
        <v>Klobouky u Brna</v>
      </c>
      <c r="N7" s="69" t="s">
        <v>107</v>
      </c>
      <c r="O7" s="70" t="s">
        <v>104</v>
      </c>
      <c r="P7" s="70" t="s">
        <v>108</v>
      </c>
      <c r="Q7" s="70"/>
      <c r="R7" s="71"/>
      <c r="S7" s="2">
        <f t="shared" si="0"/>
        <v>0</v>
      </c>
      <c r="T7" s="2">
        <f t="shared" si="1"/>
        <v>3</v>
      </c>
      <c r="U7" s="2">
        <f t="shared" si="2"/>
        <v>42</v>
      </c>
      <c r="V7" s="2" t="str">
        <f>IF($U7=0,"",VLOOKUP($U7,seznam!$A$2:$D$269,2))</f>
        <v>Dreits Anastasiia</v>
      </c>
      <c r="W7" s="2">
        <f t="shared" si="3"/>
        <v>49</v>
      </c>
      <c r="X7" s="2" t="str">
        <f>IF($W7=0,"",VLOOKUP($W7,seznam!$A$2:$D$269,2))</f>
        <v>Hutáková Pavla </v>
      </c>
      <c r="Y7" s="2" t="str">
        <f t="shared" si="4"/>
        <v>3:0 (3,6,7)</v>
      </c>
      <c r="Z7" s="2" t="str">
        <f t="shared" si="5"/>
        <v>3:0 (3,6,7)</v>
      </c>
      <c r="AB7" s="25">
        <f t="shared" si="6"/>
        <v>-1</v>
      </c>
      <c r="AC7" s="25">
        <f t="shared" si="6"/>
        <v>-1</v>
      </c>
      <c r="AD7" s="25">
        <f t="shared" si="6"/>
        <v>-1</v>
      </c>
      <c r="AE7" s="25">
        <f t="shared" si="6"/>
        <v>0</v>
      </c>
      <c r="AF7" s="25">
        <f t="shared" si="6"/>
        <v>0</v>
      </c>
    </row>
    <row r="8" spans="1:32" ht="13.5" thickTop="1">
      <c r="A8" s="2" t="e">
        <f>CONCATENATE("Čtyřhra ",#REF!," - 3.kolo")</f>
        <v>#REF!</v>
      </c>
      <c r="B8" s="2">
        <f>U6</f>
        <v>41</v>
      </c>
      <c r="C8" s="22" t="str">
        <f>IF($B8=0,"",VLOOKUP($B8,seznam!$A$2:$D$269,2))</f>
        <v>Sobotíková Monika</v>
      </c>
      <c r="D8" s="2" t="str">
        <f>IF($B8=0,"",VLOOKUP($B8,seznam!$A$2:$D$269,4))</f>
        <v>MS Brno</v>
      </c>
      <c r="E8" s="2">
        <f>W6</f>
        <v>43</v>
      </c>
      <c r="F8" s="22" t="str">
        <f>IF($E8=0,"",VLOOKUP($E8,seznam!$A$2:$D$269,2))</f>
        <v>Pilitowská Lea</v>
      </c>
      <c r="G8" s="2" t="str">
        <f>IF($E8=0,"",VLOOKUP($E8,seznam!$A$2:$D$269,4))</f>
        <v>KST Blansko</v>
      </c>
      <c r="H8" s="2">
        <f>U7</f>
        <v>42</v>
      </c>
      <c r="I8" s="23" t="str">
        <f>IF($H8=0,"",VLOOKUP($H8,seznam!$A$2:$D$269,2))</f>
        <v>Dreits Anastasiia</v>
      </c>
      <c r="J8" s="2" t="str">
        <f>IF($H8=0,"",VLOOKUP($H8,seznam!$A$2:$D$269,4))</f>
        <v>Tišnov</v>
      </c>
      <c r="K8" s="2">
        <f>W7</f>
        <v>49</v>
      </c>
      <c r="L8" s="23" t="str">
        <f>IF($K8=0,"",VLOOKUP($K8,seznam!$A$2:$D$269,2))</f>
        <v>Hutáková Pavla </v>
      </c>
      <c r="M8" s="2" t="str">
        <f>IF($K8=0,"",VLOOKUP($K8,seznam!$A$2:$D$269,4))</f>
        <v>Klobouky u Brna</v>
      </c>
      <c r="N8" s="66" t="s">
        <v>116</v>
      </c>
      <c r="O8" s="67" t="s">
        <v>108</v>
      </c>
      <c r="P8" s="67" t="s">
        <v>108</v>
      </c>
      <c r="Q8" s="67"/>
      <c r="R8" s="68"/>
      <c r="S8" s="2">
        <f t="shared" si="0"/>
        <v>0</v>
      </c>
      <c r="T8" s="2">
        <f t="shared" si="1"/>
        <v>3</v>
      </c>
      <c r="U8" s="2">
        <f t="shared" si="2"/>
        <v>42</v>
      </c>
      <c r="V8" s="2" t="str">
        <f>IF($U8=0,"",VLOOKUP($U8,seznam!$A$2:$D$269,2))</f>
        <v>Dreits Anastasiia</v>
      </c>
      <c r="W8" s="2">
        <f t="shared" si="3"/>
        <v>49</v>
      </c>
      <c r="X8" s="2" t="str">
        <f>IF($W8=0,"",VLOOKUP($W8,seznam!$A$2:$D$269,2))</f>
        <v>Hutáková Pavla </v>
      </c>
      <c r="Y8" s="2" t="str">
        <f t="shared" si="4"/>
        <v>3:0 (10,7,7)</v>
      </c>
      <c r="Z8" s="2" t="str">
        <f t="shared" si="5"/>
        <v>3:0 (10,7,7)</v>
      </c>
      <c r="AB8" s="25">
        <f t="shared" si="6"/>
        <v>-1</v>
      </c>
      <c r="AC8" s="25">
        <f t="shared" si="6"/>
        <v>-1</v>
      </c>
      <c r="AD8" s="25">
        <f t="shared" si="6"/>
        <v>-1</v>
      </c>
      <c r="AE8" s="25">
        <f t="shared" si="6"/>
        <v>0</v>
      </c>
      <c r="AF8" s="25">
        <f t="shared" si="6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5">
      <selection activeCell="B48" sqref="B48"/>
    </sheetView>
  </sheetViews>
  <sheetFormatPr defaultColWidth="9.125" defaultRowHeight="12.75"/>
  <cols>
    <col min="1" max="1" width="3.50390625" style="2" bestFit="1" customWidth="1"/>
    <col min="2" max="2" width="4.125" style="2" customWidth="1"/>
    <col min="3" max="3" width="32.00390625" style="2" customWidth="1"/>
    <col min="4" max="4" width="0.875" style="2" customWidth="1"/>
    <col min="5" max="6" width="18.375" style="2" bestFit="1" customWidth="1"/>
    <col min="7" max="7" width="19.125" style="2" bestFit="1" customWidth="1"/>
    <col min="8" max="8" width="19.375" style="2" customWidth="1"/>
    <col min="9" max="16384" width="9.125" style="2" customWidth="1"/>
  </cols>
  <sheetData>
    <row r="1" spans="1:8" ht="27" customHeight="1">
      <c r="A1" s="3"/>
      <c r="B1" s="87" t="s">
        <v>122</v>
      </c>
      <c r="G1" s="88" t="s">
        <v>89</v>
      </c>
      <c r="H1" s="84"/>
    </row>
    <row r="2" spans="2:8" ht="21" customHeight="1">
      <c r="B2" s="4"/>
      <c r="H2" s="20"/>
    </row>
    <row r="3" spans="2:8" ht="13.5">
      <c r="B3" s="2">
        <v>1</v>
      </c>
      <c r="C3" s="2" t="str">
        <f>IF($B3="","",CONCATENATE(VLOOKUP($B3,seznam!$A$2:$B$269,2)," (",VLOOKUP($B3,seznam!$A$2:$E$269,4),")"))</f>
        <v>Nespěšný Hynek (MS Brno)</v>
      </c>
      <c r="D3" s="4"/>
      <c r="H3" s="15"/>
    </row>
    <row r="4" spans="1:5" ht="12.75">
      <c r="A4" s="2">
        <v>1</v>
      </c>
      <c r="B4" s="5">
        <v>41</v>
      </c>
      <c r="C4" s="5" t="str">
        <f>IF($B4="","bye",CONCATENATE(VLOOKUP($B4,seznam!$A$2:$B$269,2)," (",VLOOKUP($B4,seznam!$A$2:$E$269,4),")"))</f>
        <v>Sobotíková Monika (MS Brno)</v>
      </c>
      <c r="E4" s="2" t="str">
        <f>'výsl. MIX'!V2</f>
        <v>Nespěšný Hynek</v>
      </c>
    </row>
    <row r="5" spans="3:5" ht="12.75">
      <c r="C5" s="2">
        <f>IF($B5="","",CONCATENATE(VLOOKUP($B5,seznam!$A$2:$B$269,2)," (",VLOOKUP($B5,seznam!$A$2:$E$269,4),")"))</f>
      </c>
      <c r="D5" s="13"/>
      <c r="E5" s="5" t="str">
        <f>'výsl. MIX'!X2</f>
        <v>Sobotíková Monika</v>
      </c>
    </row>
    <row r="6" spans="1:6" ht="12.75">
      <c r="A6" s="2">
        <v>2</v>
      </c>
      <c r="B6" s="5">
        <f>IF(B5="","",VLOOKUP(B5,debl!$B$1:$C$128,2,FALSE))</f>
      </c>
      <c r="C6" s="5" t="str">
        <f>IF($B6="","bye",CONCATENATE(VLOOKUP($B6,seznam!$A$2:$B$269,2)," (",VLOOKUP($B6,seznam!$A$2:$E$269,4),")"))</f>
        <v>bye</v>
      </c>
      <c r="D6" s="14"/>
      <c r="E6" s="6">
        <f>'výsl. MIX'!Z2</f>
      </c>
      <c r="F6" s="2" t="str">
        <f>'výsl. MIX'!V10</f>
        <v>Nespěšný Hynek</v>
      </c>
    </row>
    <row r="7" spans="4:6" ht="12.75">
      <c r="D7" s="15"/>
      <c r="E7" s="8"/>
      <c r="F7" s="9" t="str">
        <f>'výsl. MIX'!X10</f>
        <v>Sobotíková Monika</v>
      </c>
    </row>
    <row r="8" spans="1:6" ht="12.75">
      <c r="A8" s="2">
        <v>3</v>
      </c>
      <c r="B8" s="5"/>
      <c r="C8" s="5" t="str">
        <f>IF($B8="","bye",CONCATENATE(VLOOKUP($B8,seznam!$A$2:$B$269,2)," (",VLOOKUP($B8,seznam!$A$2:$E$269,4),")"))</f>
        <v>bye</v>
      </c>
      <c r="D8" s="12"/>
      <c r="E8" s="8">
        <f>'výsl. MIX'!V3</f>
      </c>
      <c r="F8" s="6">
        <f>'výsl. MIX'!Z10</f>
      </c>
    </row>
    <row r="9" spans="3:6" ht="12.75">
      <c r="C9" s="2">
        <f>IF($B9="","",CONCATENATE(VLOOKUP($B9,seznam!$A$2:$B$269,2)," (",VLOOKUP($B9,seznam!$A$2:$E$269,4),")"))</f>
      </c>
      <c r="D9" s="13"/>
      <c r="E9" s="7">
        <f>'výsl. MIX'!X3</f>
      </c>
      <c r="F9" s="8"/>
    </row>
    <row r="10" spans="1:7" ht="12.75">
      <c r="A10" s="2">
        <v>4</v>
      </c>
      <c r="B10" s="5"/>
      <c r="C10" s="5" t="str">
        <f>IF($B10="","bye",CONCATENATE(VLOOKUP($B10,seznam!$A$2:$B$269,2)," (",VLOOKUP($B10,seznam!$A$2:$E$269,4),")"))</f>
        <v>bye</v>
      </c>
      <c r="D10" s="14"/>
      <c r="E10" s="2">
        <f>'výsl. MIX'!Z3</f>
      </c>
      <c r="F10" s="8"/>
      <c r="G10" s="2" t="str">
        <f>'výsl. MIX'!V14</f>
        <v>Nespěšný Hynek</v>
      </c>
    </row>
    <row r="11" spans="2:7" ht="12.75">
      <c r="B11" s="2">
        <v>6</v>
      </c>
      <c r="C11" s="2" t="str">
        <f>IF($B11="","",CONCATENATE(VLOOKUP($B11,seznam!$A$2:$B$269,2)," (",VLOOKUP($B11,seznam!$A$2:$E$269,4),")"))</f>
        <v>Havránek Ondřej (MS Brno)</v>
      </c>
      <c r="D11" s="15"/>
      <c r="F11" s="8"/>
      <c r="G11" s="9" t="str">
        <f>'výsl. MIX'!X14</f>
        <v>Sobotíková Monika</v>
      </c>
    </row>
    <row r="12" spans="1:7" ht="12.75">
      <c r="A12" s="2">
        <v>5</v>
      </c>
      <c r="B12" s="5">
        <f>IF(B11="","",VLOOKUP(B11,debl!$B$1:$C$128,2,FALSE))</f>
        <v>47</v>
      </c>
      <c r="C12" s="5" t="str">
        <f>IF($B12="","bye",CONCATENATE(VLOOKUP($B12,seznam!$A$2:$B$269,2)," (",VLOOKUP($B12,seznam!$A$2:$E$269,4),")"))</f>
        <v>Plíšková Kristýna (MS Brno)</v>
      </c>
      <c r="D12" s="12"/>
      <c r="E12" s="2" t="str">
        <f>'výsl. MIX'!V4</f>
        <v>Havránek Ondřej</v>
      </c>
      <c r="F12" s="8"/>
      <c r="G12" s="6" t="str">
        <f>'výsl. MIX'!Z14</f>
        <v>3:1 (15,-7,3,7)</v>
      </c>
    </row>
    <row r="13" spans="3:7" ht="12.75">
      <c r="C13" s="2">
        <f>IF($B13="","",CONCATENATE(VLOOKUP($B13,seznam!$A$2:$B$269,2)," (",VLOOKUP($B13,seznam!$A$2:$E$269,4),")"))</f>
      </c>
      <c r="D13" s="13"/>
      <c r="E13" s="5" t="str">
        <f>'výsl. MIX'!X4</f>
        <v>Plíšková Kristýna</v>
      </c>
      <c r="F13" s="8"/>
      <c r="G13" s="8"/>
    </row>
    <row r="14" spans="1:7" ht="12.75">
      <c r="A14" s="2">
        <v>6</v>
      </c>
      <c r="B14" s="5"/>
      <c r="C14" s="5" t="str">
        <f>IF($B14="","bye",CONCATENATE(VLOOKUP($B14,seznam!$A$2:$B$269,2)," (",VLOOKUP($B14,seznam!$A$2:$E$269,4),")"))</f>
        <v>bye</v>
      </c>
      <c r="D14" s="14"/>
      <c r="E14" s="6">
        <f>'výsl. MIX'!Z4</f>
      </c>
      <c r="F14" s="8" t="str">
        <f>'výsl. MIX'!V11</f>
        <v>Chalupa David</v>
      </c>
      <c r="G14" s="8"/>
    </row>
    <row r="15" spans="3:7" ht="12.75">
      <c r="C15" s="2">
        <f>IF($B15="","",CONCATENATE(VLOOKUP($B15,seznam!$A$2:$B$269,2)," (",VLOOKUP($B15,seznam!$A$2:$E$269,4),")"))</f>
      </c>
      <c r="D15" s="15"/>
      <c r="E15" s="8"/>
      <c r="F15" s="10" t="str">
        <f>'výsl. MIX'!X11</f>
        <v>Pilitowská Lea</v>
      </c>
      <c r="G15" s="8"/>
    </row>
    <row r="16" spans="1:7" ht="12.75">
      <c r="A16" s="2">
        <v>7</v>
      </c>
      <c r="B16" s="5"/>
      <c r="C16" s="5" t="str">
        <f>IF($B16="","bye",CONCATENATE(VLOOKUP($B16,seznam!$A$2:$B$269,2)," (",VLOOKUP($B16,seznam!$A$2:$E$269,4),")"))</f>
        <v>bye</v>
      </c>
      <c r="D16" s="12"/>
      <c r="E16" s="8" t="str">
        <f>'výsl. MIX'!V5</f>
        <v>Chalupa David</v>
      </c>
      <c r="F16" s="2" t="str">
        <f>'výsl. MIX'!Z11</f>
        <v>3:1 (5,-3,9,8)</v>
      </c>
      <c r="G16" s="8"/>
    </row>
    <row r="17" spans="2:7" ht="12.75">
      <c r="B17" s="2">
        <v>7</v>
      </c>
      <c r="C17" s="2" t="str">
        <f>IF($B17="","",CONCATENATE(VLOOKUP($B17,seznam!$A$2:$B$269,2)," (",VLOOKUP($B17,seznam!$A$2:$E$269,4),")"))</f>
        <v>Chalupa David (KST Blansko)</v>
      </c>
      <c r="D17" s="13"/>
      <c r="E17" s="7" t="str">
        <f>'výsl. MIX'!X5</f>
        <v>Pilitowská Lea</v>
      </c>
      <c r="G17" s="8"/>
    </row>
    <row r="18" spans="1:8" ht="12.75">
      <c r="A18" s="2">
        <v>8</v>
      </c>
      <c r="B18" s="5">
        <v>43</v>
      </c>
      <c r="C18" s="5" t="str">
        <f>IF($B18="","bye",CONCATENATE(VLOOKUP($B18,seznam!$A$2:$B$269,2)," (",VLOOKUP($B18,seznam!$A$2:$E$269,4),")"))</f>
        <v>Pilitowská Lea (KST Blansko)</v>
      </c>
      <c r="D18" s="14"/>
      <c r="E18" s="2">
        <f>'výsl. MIX'!Z5</f>
      </c>
      <c r="G18" s="8"/>
      <c r="H18" s="1" t="str">
        <f>'výsl. MIX'!V16</f>
        <v>Huták Ondřej</v>
      </c>
    </row>
    <row r="19" spans="2:8" ht="12.75">
      <c r="B19" s="2">
        <v>5</v>
      </c>
      <c r="C19" s="2" t="str">
        <f>IF($B19="","",CONCATENATE(VLOOKUP($B19,seznam!$A$2:$B$269,2)," (",VLOOKUP($B19,seznam!$A$2:$E$269,4),")"))</f>
        <v>Horníček Lukáš (MS Brno)</v>
      </c>
      <c r="D19" s="15"/>
      <c r="G19" s="8"/>
      <c r="H19" s="21" t="str">
        <f>'výsl. MIX'!X16</f>
        <v>Hutáková Pavla </v>
      </c>
    </row>
    <row r="20" spans="1:9" ht="12.75">
      <c r="A20" s="2">
        <v>9</v>
      </c>
      <c r="B20" s="5">
        <v>46</v>
      </c>
      <c r="C20" s="5" t="str">
        <f>IF($B20="","bye",CONCATENATE(VLOOKUP($B20,seznam!$A$2:$B$269,2)," (",VLOOKUP($B20,seznam!$A$2:$E$269,4),")"))</f>
        <v>Plíšková Kateřina (MS Brno)</v>
      </c>
      <c r="D20" s="12"/>
      <c r="E20" s="2" t="str">
        <f>'výsl. MIX'!V6</f>
        <v>Horníček Lukáš</v>
      </c>
      <c r="G20" s="8"/>
      <c r="H20" s="78" t="str">
        <f>'výsl. MIX'!Z16</f>
        <v>3:1 (-6,9,6,13)</v>
      </c>
      <c r="I20" s="83"/>
    </row>
    <row r="21" spans="3:9" ht="12.75">
      <c r="C21" s="2">
        <f>IF($B21="","",CONCATENATE(VLOOKUP($B21,seznam!$A$2:$B$269,2)," (",VLOOKUP($B21,seznam!$A$2:$E$269,4),")"))</f>
      </c>
      <c r="D21" s="13"/>
      <c r="E21" s="5" t="str">
        <f>'výsl. MIX'!X6</f>
        <v>Plíšková Kateřina</v>
      </c>
      <c r="G21" s="8"/>
      <c r="H21" s="93"/>
      <c r="I21" s="83"/>
    </row>
    <row r="22" spans="1:9" ht="12.75">
      <c r="A22" s="2">
        <v>10</v>
      </c>
      <c r="B22" s="5">
        <f>IF(B21="","",VLOOKUP(B21,debl!$B$1:$C$128,2,FALSE))</f>
      </c>
      <c r="C22" s="5" t="str">
        <f>IF($B22="","bye",CONCATENATE(VLOOKUP($B22,seznam!$A$2:$B$269,2)," (",VLOOKUP($B22,seznam!$A$2:$E$269,4),")"))</f>
        <v>bye</v>
      </c>
      <c r="D22" s="14"/>
      <c r="E22" s="6">
        <f>'výsl. MIX'!Z6</f>
      </c>
      <c r="F22" s="2" t="s">
        <v>70</v>
      </c>
      <c r="G22" s="8"/>
      <c r="H22" s="93"/>
      <c r="I22" s="83"/>
    </row>
    <row r="23" spans="3:9" ht="12.75">
      <c r="C23" s="2">
        <f>IF($B23="","",CONCATENATE(VLOOKUP($B23,seznam!$A$2:$B$269,2)," (",VLOOKUP($B23,seznam!$A$2:$E$269,4),")"))</f>
      </c>
      <c r="D23" s="15"/>
      <c r="E23" s="8"/>
      <c r="F23" s="9" t="s">
        <v>51</v>
      </c>
      <c r="G23" s="8"/>
      <c r="H23" s="93"/>
      <c r="I23" s="83"/>
    </row>
    <row r="24" spans="1:9" ht="12.75">
      <c r="A24" s="2">
        <v>11</v>
      </c>
      <c r="B24" s="5"/>
      <c r="C24" s="5" t="str">
        <f>IF($B24="","bye",CONCATENATE(VLOOKUP($B24,seznam!$A$2:$B$269,2)," (",VLOOKUP($B24,seznam!$A$2:$E$269,4),")"))</f>
        <v>bye</v>
      </c>
      <c r="D24" s="12"/>
      <c r="E24" s="8" t="str">
        <f>'výsl. MIX'!V7</f>
        <v>Huták Ondřej</v>
      </c>
      <c r="F24" s="6" t="str">
        <f>'výsl. MIX'!Z12</f>
        <v>3:0 (8,6,6)</v>
      </c>
      <c r="G24" s="8"/>
      <c r="H24" s="93"/>
      <c r="I24" s="83"/>
    </row>
    <row r="25" spans="2:9" ht="12.75">
      <c r="B25" s="2">
        <v>13</v>
      </c>
      <c r="C25" s="2" t="str">
        <f>IF($B25="","",CONCATENATE(VLOOKUP($B25,seznam!$A$2:$B$269,2)," (",VLOOKUP($B25,seznam!$A$2:$E$269,4),")"))</f>
        <v>Huták Ondřej (Klobouky u Brna)</v>
      </c>
      <c r="D25" s="13"/>
      <c r="E25" s="7" t="str">
        <f>'výsl. MIX'!X7</f>
        <v>Hutáková Pavla </v>
      </c>
      <c r="F25" s="8"/>
      <c r="G25" s="8"/>
      <c r="H25" s="93"/>
      <c r="I25" s="83"/>
    </row>
    <row r="26" spans="1:9" ht="12.75">
      <c r="A26" s="2">
        <v>12</v>
      </c>
      <c r="B26" s="5">
        <v>49</v>
      </c>
      <c r="C26" s="5" t="str">
        <f>IF($B26="","bye",CONCATENATE(VLOOKUP($B26,seznam!$A$2:$B$269,2)," (",VLOOKUP($B26,seznam!$A$2:$E$269,4),")"))</f>
        <v>Hutáková Pavla  (Klobouky u Brna)</v>
      </c>
      <c r="D26" s="14"/>
      <c r="E26" s="2">
        <f>'výsl. MIX'!Z7</f>
      </c>
      <c r="F26" s="8"/>
      <c r="G26" s="8" t="str">
        <f>'výsl. MIX'!V15</f>
        <v>Huták Ondřej</v>
      </c>
      <c r="H26" s="93"/>
      <c r="I26" s="83"/>
    </row>
    <row r="27" spans="3:9" ht="12.75">
      <c r="C27" s="2">
        <f>IF($B27="","",CONCATENATE(VLOOKUP($B27,seznam!$A$2:$B$269,2)," (",VLOOKUP($B27,seznam!$A$2:$E$269,4),")"))</f>
      </c>
      <c r="D27" s="15"/>
      <c r="F27" s="8"/>
      <c r="G27" s="10" t="str">
        <f>'výsl. MIX'!X15</f>
        <v>Hutáková Pavla </v>
      </c>
      <c r="H27" s="93"/>
      <c r="I27" s="83"/>
    </row>
    <row r="28" spans="1:9" ht="12.75">
      <c r="A28" s="2">
        <v>13</v>
      </c>
      <c r="B28" s="5"/>
      <c r="C28" s="5" t="str">
        <f>IF($B28="","bye",CONCATENATE(VLOOKUP($B28,seznam!$A$2:$B$269,2)," (",VLOOKUP($B28,seznam!$A$2:$E$269,4),")"))</f>
        <v>bye</v>
      </c>
      <c r="D28" s="12"/>
      <c r="E28" s="2">
        <f>'výsl. MIX'!V8</f>
      </c>
      <c r="F28" s="8"/>
      <c r="G28" s="2" t="str">
        <f>'výsl. MIX'!Z15</f>
        <v>3:1 (8,-8,9,6)</v>
      </c>
      <c r="H28" s="83"/>
      <c r="I28" s="83"/>
    </row>
    <row r="29" spans="4:9" ht="12.75">
      <c r="D29" s="13"/>
      <c r="E29" s="5">
        <f>'výsl. MIX'!X8</f>
      </c>
      <c r="F29" s="8"/>
      <c r="H29" s="83"/>
      <c r="I29" s="83"/>
    </row>
    <row r="30" spans="1:9" ht="12.75">
      <c r="A30" s="2">
        <v>14</v>
      </c>
      <c r="B30" s="5"/>
      <c r="C30" s="5" t="str">
        <f>IF($B30="","bye",CONCATENATE(VLOOKUP($B30,seznam!$A$2:$B$269,2)," (",VLOOKUP($B30,seznam!$A$2:$E$269,4),")"))</f>
        <v>bye</v>
      </c>
      <c r="D30" s="14"/>
      <c r="E30" s="6">
        <f>'výsl. MIX'!Z8</f>
      </c>
      <c r="F30" s="8" t="str">
        <f>'výsl. MIX'!V13</f>
        <v>Kurdiovský Matěj</v>
      </c>
      <c r="H30" s="83"/>
      <c r="I30" s="83"/>
    </row>
    <row r="31" spans="3:8" ht="12.75">
      <c r="C31" s="2">
        <f>IF($B31="","",CONCATENATE(VLOOKUP($B31,seznam!$A$2:$B$269,2)," (",VLOOKUP($B31,seznam!$A$2:$E$269,4),")"))</f>
      </c>
      <c r="D31" s="15"/>
      <c r="E31" s="8"/>
      <c r="F31" s="10" t="str">
        <f>'výsl. MIX'!X13</f>
        <v>Dreits Anastasiia</v>
      </c>
      <c r="H31" s="83"/>
    </row>
    <row r="32" spans="1:8" ht="12.75">
      <c r="A32" s="2">
        <v>15</v>
      </c>
      <c r="B32" s="5">
        <f>IF(B31="","",VLOOKUP(B31,debl!$B$1:$C$128,2,FALSE))</f>
      </c>
      <c r="C32" s="5" t="str">
        <f>IF($B32="","bye",CONCATENATE(VLOOKUP($B32,seznam!$A$2:$B$269,2)," (",VLOOKUP($B32,seznam!$A$2:$E$269,4),")"))</f>
        <v>bye</v>
      </c>
      <c r="D32" s="12"/>
      <c r="E32" s="8" t="str">
        <f>'výsl. MIX'!V9</f>
        <v>Kurdiovský Matěj</v>
      </c>
      <c r="F32" s="2">
        <f>'výsl. MIX'!Z13</f>
      </c>
      <c r="H32" s="83"/>
    </row>
    <row r="33" spans="2:8" ht="12.75">
      <c r="B33" s="2">
        <v>8</v>
      </c>
      <c r="C33" s="2" t="str">
        <f>IF($B33="","",CONCATENATE(VLOOKUP($B33,seznam!$A$2:$B$269,2)," (",VLOOKUP($B33,seznam!$A$2:$E$269,4),")"))</f>
        <v>Kurdiovský Matěj (Tišnov)</v>
      </c>
      <c r="D33" s="13"/>
      <c r="E33" s="7" t="str">
        <f>'výsl. MIX'!X9</f>
        <v>Dreits Anastasiia</v>
      </c>
      <c r="H33" s="83"/>
    </row>
    <row r="34" spans="1:8" ht="12.75">
      <c r="A34" s="2">
        <v>16</v>
      </c>
      <c r="B34" s="5">
        <v>42</v>
      </c>
      <c r="C34" s="5" t="str">
        <f>IF($B34="","bye",CONCATENATE(VLOOKUP($B34,seznam!$A$2:$B$269,2)," (",VLOOKUP($B34,seznam!$A$2:$E$269,4),")"))</f>
        <v>Dreits Anastasiia (Tišnov)</v>
      </c>
      <c r="D34" s="14"/>
      <c r="E34" s="2">
        <f>'výsl. MIX'!Z9</f>
      </c>
      <c r="H34" s="86"/>
    </row>
    <row r="35" spans="3:8" ht="12.75">
      <c r="C35" s="2">
        <f>IF($B35="","",CONCATENATE(VLOOKUP($B35,seznam!$A$2:$B$269,2)," (",VLOOKUP($B35,seznam!$A$2:$E$269,4),")"))</f>
      </c>
      <c r="D35" s="15"/>
      <c r="H35" s="86"/>
    </row>
    <row r="36" spans="1:8" ht="12.75">
      <c r="A36" s="83"/>
      <c r="B36" s="83"/>
      <c r="C36" s="83"/>
      <c r="D36" s="89"/>
      <c r="E36" s="83"/>
      <c r="F36" s="83"/>
      <c r="G36" s="83"/>
      <c r="H36" s="83"/>
    </row>
    <row r="37" spans="1:8" ht="12.75">
      <c r="A37" s="83"/>
      <c r="B37" s="83"/>
      <c r="C37" s="83"/>
      <c r="D37" s="89"/>
      <c r="E37" s="83"/>
      <c r="F37" s="83"/>
      <c r="G37" s="83"/>
      <c r="H37" s="83"/>
    </row>
    <row r="38" spans="1:8" ht="12.75">
      <c r="A38" s="83"/>
      <c r="B38" s="83"/>
      <c r="C38" s="83"/>
      <c r="D38" s="89"/>
      <c r="E38" s="83"/>
      <c r="F38" s="83"/>
      <c r="G38" s="83"/>
      <c r="H38" s="83"/>
    </row>
    <row r="39" spans="1:8" ht="12.75">
      <c r="A39" s="83"/>
      <c r="B39" s="83"/>
      <c r="C39" s="83"/>
      <c r="D39" s="89"/>
      <c r="E39" s="83"/>
      <c r="F39" s="83"/>
      <c r="G39" s="83"/>
      <c r="H39" s="83"/>
    </row>
    <row r="40" spans="1:8" ht="12.75">
      <c r="A40" s="83"/>
      <c r="B40" s="83"/>
      <c r="C40" s="83"/>
      <c r="D40" s="89"/>
      <c r="E40" s="83"/>
      <c r="F40" s="83"/>
      <c r="G40" s="83"/>
      <c r="H40" s="83"/>
    </row>
    <row r="41" spans="1:8" ht="12.75">
      <c r="A41" s="83"/>
      <c r="B41" s="83"/>
      <c r="C41" s="83"/>
      <c r="D41" s="89"/>
      <c r="E41" s="83"/>
      <c r="F41" s="83"/>
      <c r="G41" s="83"/>
      <c r="H41" s="83"/>
    </row>
    <row r="42" spans="1:8" ht="12.75">
      <c r="A42" s="83"/>
      <c r="B42" s="83"/>
      <c r="C42" s="83"/>
      <c r="D42" s="89"/>
      <c r="E42" s="83"/>
      <c r="F42" s="83"/>
      <c r="G42" s="83"/>
      <c r="H42" s="83"/>
    </row>
    <row r="43" spans="1:8" ht="12.75">
      <c r="A43" s="83"/>
      <c r="B43" s="83"/>
      <c r="C43" s="83"/>
      <c r="D43" s="89"/>
      <c r="E43" s="83"/>
      <c r="F43" s="83"/>
      <c r="G43" s="83"/>
      <c r="H43" s="83"/>
    </row>
    <row r="44" spans="1:8" ht="12.75">
      <c r="A44" s="83"/>
      <c r="B44" s="83"/>
      <c r="C44" s="83"/>
      <c r="D44" s="89"/>
      <c r="E44" s="83"/>
      <c r="F44" s="83"/>
      <c r="G44" s="83"/>
      <c r="H44" s="83"/>
    </row>
    <row r="45" spans="1:8" ht="12.75">
      <c r="A45" s="83"/>
      <c r="B45" s="83"/>
      <c r="C45" s="83"/>
      <c r="D45" s="89"/>
      <c r="E45" s="83"/>
      <c r="F45" s="83"/>
      <c r="G45" s="83"/>
      <c r="H45" s="83"/>
    </row>
    <row r="46" spans="1:8" ht="12.75">
      <c r="A46" s="83"/>
      <c r="B46" s="83"/>
      <c r="C46" s="83"/>
      <c r="D46" s="89"/>
      <c r="E46" s="83"/>
      <c r="F46" s="83"/>
      <c r="G46" s="83"/>
      <c r="H46" s="83"/>
    </row>
    <row r="47" spans="1:8" ht="12.75">
      <c r="A47" s="83"/>
      <c r="B47" s="83"/>
      <c r="C47" s="83"/>
      <c r="D47" s="89"/>
      <c r="E47" s="83"/>
      <c r="F47" s="83"/>
      <c r="G47" s="83"/>
      <c r="H47" s="83"/>
    </row>
    <row r="48" spans="1:8" ht="12.75">
      <c r="A48" s="83"/>
      <c r="B48" s="83"/>
      <c r="C48" s="83"/>
      <c r="D48" s="89"/>
      <c r="E48" s="83"/>
      <c r="F48" s="83"/>
      <c r="G48" s="83"/>
      <c r="H48" s="83"/>
    </row>
    <row r="49" spans="1:8" ht="12.75">
      <c r="A49" s="83"/>
      <c r="B49" s="83"/>
      <c r="C49" s="83"/>
      <c r="D49" s="89"/>
      <c r="E49" s="83"/>
      <c r="F49" s="83"/>
      <c r="G49" s="83"/>
      <c r="H49" s="83"/>
    </row>
    <row r="50" spans="1:8" ht="12.75">
      <c r="A50" s="83"/>
      <c r="B50" s="83"/>
      <c r="C50" s="83"/>
      <c r="D50" s="89"/>
      <c r="E50" s="83"/>
      <c r="F50" s="83"/>
      <c r="G50" s="83"/>
      <c r="H50" s="86"/>
    </row>
    <row r="51" spans="1:8" ht="12.75">
      <c r="A51" s="83"/>
      <c r="B51" s="83"/>
      <c r="C51" s="83"/>
      <c r="D51" s="89"/>
      <c r="E51" s="83"/>
      <c r="F51" s="83"/>
      <c r="G51" s="83"/>
      <c r="H51" s="86"/>
    </row>
    <row r="52" spans="1:8" ht="12.75">
      <c r="A52" s="83"/>
      <c r="B52" s="83"/>
      <c r="C52" s="83"/>
      <c r="D52" s="89"/>
      <c r="E52" s="83"/>
      <c r="F52" s="83"/>
      <c r="G52" s="83"/>
      <c r="H52" s="83"/>
    </row>
    <row r="53" spans="1:8" ht="12.75">
      <c r="A53" s="83"/>
      <c r="B53" s="83"/>
      <c r="C53" s="83"/>
      <c r="D53" s="89"/>
      <c r="E53" s="83"/>
      <c r="F53" s="83"/>
      <c r="G53" s="83"/>
      <c r="H53" s="83"/>
    </row>
    <row r="54" spans="1:8" ht="12.75">
      <c r="A54" s="83"/>
      <c r="B54" s="83"/>
      <c r="C54" s="83"/>
      <c r="D54" s="89"/>
      <c r="E54" s="83"/>
      <c r="F54" s="83"/>
      <c r="G54" s="83"/>
      <c r="H54" s="83"/>
    </row>
    <row r="55" spans="1:8" ht="12.75">
      <c r="A55" s="83"/>
      <c r="B55" s="83"/>
      <c r="C55" s="83"/>
      <c r="D55" s="89"/>
      <c r="E55" s="83"/>
      <c r="F55" s="83"/>
      <c r="G55" s="83"/>
      <c r="H55" s="83"/>
    </row>
    <row r="56" spans="1:8" ht="12.75">
      <c r="A56" s="83"/>
      <c r="B56" s="83"/>
      <c r="C56" s="83"/>
      <c r="D56" s="89"/>
      <c r="E56" s="83"/>
      <c r="F56" s="83"/>
      <c r="G56" s="83"/>
      <c r="H56" s="83"/>
    </row>
    <row r="57" spans="1:8" ht="12.75">
      <c r="A57" s="83"/>
      <c r="B57" s="83"/>
      <c r="C57" s="83"/>
      <c r="D57" s="89"/>
      <c r="E57" s="83"/>
      <c r="F57" s="83"/>
      <c r="G57" s="83"/>
      <c r="H57" s="83"/>
    </row>
    <row r="58" spans="1:8" ht="12.75">
      <c r="A58" s="83"/>
      <c r="B58" s="83"/>
      <c r="C58" s="83"/>
      <c r="D58" s="89"/>
      <c r="E58" s="83"/>
      <c r="F58" s="83"/>
      <c r="G58" s="83"/>
      <c r="H58" s="83"/>
    </row>
    <row r="59" spans="1:8" ht="12.75">
      <c r="A59" s="83"/>
      <c r="B59" s="83"/>
      <c r="C59" s="83"/>
      <c r="D59" s="89"/>
      <c r="E59" s="83"/>
      <c r="F59" s="83"/>
      <c r="G59" s="83"/>
      <c r="H59" s="83"/>
    </row>
    <row r="60" spans="1:8" ht="12.75">
      <c r="A60" s="83"/>
      <c r="B60" s="83"/>
      <c r="C60" s="83"/>
      <c r="D60" s="89"/>
      <c r="E60" s="83"/>
      <c r="F60" s="83"/>
      <c r="G60" s="83"/>
      <c r="H60" s="83"/>
    </row>
    <row r="61" spans="1:8" ht="12.75">
      <c r="A61" s="83"/>
      <c r="B61" s="83"/>
      <c r="C61" s="83"/>
      <c r="D61" s="89"/>
      <c r="E61" s="83"/>
      <c r="F61" s="83"/>
      <c r="G61" s="83"/>
      <c r="H61" s="83"/>
    </row>
    <row r="62" spans="1:8" ht="12.75">
      <c r="A62" s="83"/>
      <c r="B62" s="83"/>
      <c r="C62" s="83"/>
      <c r="D62" s="89"/>
      <c r="E62" s="83"/>
      <c r="F62" s="83"/>
      <c r="G62" s="83"/>
      <c r="H62" s="83"/>
    </row>
    <row r="63" spans="1:8" ht="12.75">
      <c r="A63" s="83"/>
      <c r="B63" s="83"/>
      <c r="C63" s="83"/>
      <c r="D63" s="89"/>
      <c r="E63" s="83"/>
      <c r="F63" s="83"/>
      <c r="G63" s="83"/>
      <c r="H63" s="83"/>
    </row>
    <row r="64" spans="1:8" ht="12.75">
      <c r="A64" s="83"/>
      <c r="B64" s="83"/>
      <c r="C64" s="83"/>
      <c r="D64" s="89"/>
      <c r="E64" s="83"/>
      <c r="F64" s="83"/>
      <c r="G64" s="83"/>
      <c r="H64" s="83"/>
    </row>
    <row r="65" spans="1:8" ht="12.75">
      <c r="A65" s="83"/>
      <c r="B65" s="83"/>
      <c r="C65" s="83"/>
      <c r="D65" s="89"/>
      <c r="E65" s="83"/>
      <c r="F65" s="83"/>
      <c r="G65" s="83"/>
      <c r="H65" s="83"/>
    </row>
    <row r="66" spans="1:8" ht="12.75">
      <c r="A66" s="83"/>
      <c r="B66" s="83"/>
      <c r="C66" s="83"/>
      <c r="D66" s="89"/>
      <c r="E66" s="83"/>
      <c r="F66" s="83"/>
      <c r="G66" s="83"/>
      <c r="H66" s="83"/>
    </row>
    <row r="67" spans="1:8" ht="12.75">
      <c r="A67" s="83"/>
      <c r="B67" s="83"/>
      <c r="C67" s="83"/>
      <c r="D67" s="89"/>
      <c r="E67" s="83"/>
      <c r="F67" s="83"/>
      <c r="G67" s="83"/>
      <c r="H67" s="83"/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fitToHeight="0" horizontalDpi="300" verticalDpi="300" orientation="landscape" paperSize="9" scale="84" r:id="rId1"/>
  <rowBreaks count="1" manualBreakCount="1">
    <brk id="6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PageLayoutView="0" workbookViewId="0" topLeftCell="A1">
      <pane ySplit="1" topLeftCell="A2" activePane="bottomLeft" state="frozen"/>
      <selection pane="topLeft" activeCell="H19" sqref="H19"/>
      <selection pane="bottomLeft" activeCell="A17" sqref="A17"/>
    </sheetView>
  </sheetViews>
  <sheetFormatPr defaultColWidth="9.125" defaultRowHeight="12.75"/>
  <cols>
    <col min="1" max="1" width="25.50390625" style="2" customWidth="1"/>
    <col min="2" max="2" width="4.50390625" style="2" bestFit="1" customWidth="1"/>
    <col min="3" max="3" width="16.00390625" style="2" bestFit="1" customWidth="1"/>
    <col min="4" max="4" width="7.00390625" style="2" bestFit="1" customWidth="1"/>
    <col min="5" max="5" width="4.50390625" style="2" bestFit="1" customWidth="1"/>
    <col min="6" max="6" width="16.00390625" style="2" bestFit="1" customWidth="1"/>
    <col min="7" max="7" width="7.00390625" style="2" bestFit="1" customWidth="1"/>
    <col min="8" max="8" width="4.875" style="2" bestFit="1" customWidth="1"/>
    <col min="9" max="9" width="16.00390625" style="2" bestFit="1" customWidth="1"/>
    <col min="10" max="10" width="7.00390625" style="2" bestFit="1" customWidth="1"/>
    <col min="11" max="11" width="4.875" style="2" bestFit="1" customWidth="1"/>
    <col min="12" max="12" width="14.50390625" style="2" bestFit="1" customWidth="1"/>
    <col min="13" max="13" width="7.00390625" style="2" bestFit="1" customWidth="1"/>
    <col min="14" max="15" width="3.875" style="2" customWidth="1"/>
    <col min="16" max="20" width="4.375" style="2" customWidth="1"/>
    <col min="21" max="21" width="4.50390625" style="2" bestFit="1" customWidth="1"/>
    <col min="22" max="22" width="12.00390625" style="2" customWidth="1"/>
    <col min="23" max="23" width="4.125" style="2" customWidth="1"/>
    <col min="24" max="24" width="11.00390625" style="2" customWidth="1"/>
    <col min="25" max="25" width="3.125" style="2" customWidth="1"/>
    <col min="26" max="26" width="21.625" style="2" bestFit="1" customWidth="1"/>
    <col min="27" max="27" width="2.625" style="2" customWidth="1"/>
    <col min="28" max="32" width="4.125" style="2" customWidth="1"/>
    <col min="33" max="16384" width="9.125" style="2" customWidth="1"/>
  </cols>
  <sheetData>
    <row r="1" spans="2:21" ht="12.75">
      <c r="B1" s="1" t="s">
        <v>0</v>
      </c>
      <c r="C1" s="1" t="s">
        <v>1</v>
      </c>
      <c r="D1" s="1" t="s">
        <v>2</v>
      </c>
      <c r="E1" s="1" t="s">
        <v>0</v>
      </c>
      <c r="F1" s="1" t="s">
        <v>3</v>
      </c>
      <c r="G1" s="1" t="s">
        <v>2</v>
      </c>
      <c r="H1" s="1" t="s">
        <v>0</v>
      </c>
      <c r="I1" s="1" t="s">
        <v>14</v>
      </c>
      <c r="J1" s="1" t="s">
        <v>2</v>
      </c>
      <c r="K1" s="1" t="s">
        <v>0</v>
      </c>
      <c r="L1" s="1" t="s">
        <v>15</v>
      </c>
      <c r="M1" s="1" t="s">
        <v>2</v>
      </c>
      <c r="N1" s="86" t="s">
        <v>4</v>
      </c>
      <c r="O1" s="86" t="s">
        <v>5</v>
      </c>
      <c r="P1" s="86" t="s">
        <v>6</v>
      </c>
      <c r="Q1" s="86" t="s">
        <v>7</v>
      </c>
      <c r="R1" s="86" t="s">
        <v>8</v>
      </c>
      <c r="S1" s="1" t="s">
        <v>9</v>
      </c>
      <c r="T1" s="1" t="s">
        <v>10</v>
      </c>
      <c r="U1" s="1" t="s">
        <v>11</v>
      </c>
    </row>
    <row r="2" spans="1:32" ht="12.75">
      <c r="A2" s="2" t="e">
        <f>CONCATENATE("Čtyřhra ",#REF!," - 1.kolo")</f>
        <v>#REF!</v>
      </c>
      <c r="B2" s="2">
        <f>MIX!$B$3</f>
        <v>1</v>
      </c>
      <c r="C2" s="22" t="str">
        <f>IF($B2=0,"bye",VLOOKUP($B2,seznam!$A$2:$D$269,2))</f>
        <v>Nespěšný Hynek</v>
      </c>
      <c r="D2" s="2" t="str">
        <f>IF($B2=0,"",VLOOKUP($B2,seznam!$A$2:$D$269,4))</f>
        <v>MS Brno</v>
      </c>
      <c r="E2" s="2">
        <f>MIX!$B$4</f>
        <v>41</v>
      </c>
      <c r="F2" s="22" t="str">
        <f>IF($E2="","bye",VLOOKUP($E2,seznam!$A$2:$D$269,2))</f>
        <v>Sobotíková Monika</v>
      </c>
      <c r="G2" s="2" t="str">
        <f>IF($E2="","",VLOOKUP($E2,seznam!$A$2:$D$269,4))</f>
        <v>MS Brno</v>
      </c>
      <c r="H2" s="2">
        <f>MIX!$B$5</f>
        <v>0</v>
      </c>
      <c r="I2" s="23" t="str">
        <f>IF($H2=0,"bye",VLOOKUP($H2,seznam!$A$2:$D$269,2))</f>
        <v>bye</v>
      </c>
      <c r="J2" s="2">
        <f>IF($H2=0,"",VLOOKUP($H2,seznam!$A$2:$D$269,4))</f>
      </c>
      <c r="K2" s="2">
        <f>MIX!$B$6</f>
      </c>
      <c r="L2" s="23" t="str">
        <f>IF($K2="","bye",VLOOKUP($K2,seznam!$A$2:$D$269,2))</f>
        <v>bye</v>
      </c>
      <c r="M2" s="2">
        <f>IF($K2="","",VLOOKUP($K2,seznam!$A$2:$D$269,4))</f>
      </c>
      <c r="N2" s="90" t="s">
        <v>95</v>
      </c>
      <c r="O2" s="90"/>
      <c r="P2" s="90"/>
      <c r="Q2" s="90"/>
      <c r="R2" s="90"/>
      <c r="S2" s="2">
        <f aca="true" t="shared" si="0" ref="S2:S9">COUNTIF(AB2:AF2,"&gt;0")</f>
        <v>1</v>
      </c>
      <c r="T2" s="2">
        <f aca="true" t="shared" si="1" ref="T2:T9">COUNTIF(AB2:AF2,"&lt;0")</f>
        <v>0</v>
      </c>
      <c r="U2" s="2">
        <f aca="true" t="shared" si="2" ref="U2:U9">IF(S2=T2,0,IF(S2&gt;T2,B2,H2))</f>
        <v>1</v>
      </c>
      <c r="V2" s="2" t="str">
        <f>IF($U2=0,"",VLOOKUP($U2,seznam!$A$2:$D$269,2))</f>
        <v>Nespěšný Hynek</v>
      </c>
      <c r="W2" s="2">
        <f aca="true" t="shared" si="3" ref="W2:W9">IF(S2=T2,0,IF(S2&gt;T2,E2,K2))</f>
        <v>41</v>
      </c>
      <c r="X2" s="2" t="str">
        <f>IF($W2=0,"",VLOOKUP($W2,seznam!$A$2:$D$269,2))</f>
        <v>Sobotíková Monika</v>
      </c>
      <c r="Y2" s="2" t="str">
        <f aca="true" t="shared" si="4" ref="Y2:Y9">IF(S2=T2,"",IF(S2&gt;T2,CONCATENATE(S2,":",T2," (",N2,",",O2,",",P2,IF(SUM(S2:T2)&gt;3,",",""),Q2,IF(SUM(S2:T2)&gt;4,",",""),R2,")"),CONCATENATE(T2,":",S2," (",-N2,",",-O2,",",-P2,IF(SUM(S2:T2)&gt;3,",",""),IF(SUM(S2:T2)&gt;3,-Q2,""),IF(SUM(S2:T2)&gt;4,",",""),IF(SUM(S2:T2)&gt;4,-R2,""),")")))</f>
        <v>1:0 (0,,)</v>
      </c>
      <c r="Z2" s="2">
        <f aca="true" t="shared" si="5" ref="Z2:Z9">IF(MAX(S2:T2)=3,Y2,"")</f>
      </c>
      <c r="AB2" s="25">
        <f aca="true" t="shared" si="6" ref="AB2:AB9">IF(N2="",0,IF(MID(N2,1,1)="-",-1,1))</f>
        <v>1</v>
      </c>
      <c r="AC2" s="25">
        <f aca="true" t="shared" si="7" ref="AC2:AC9">IF(O2="",0,IF(MID(O2,1,1)="-",-1,1))</f>
        <v>0</v>
      </c>
      <c r="AD2" s="25">
        <f aca="true" t="shared" si="8" ref="AD2:AD9">IF(P2="",0,IF(MID(P2,1,1)="-",-1,1))</f>
        <v>0</v>
      </c>
      <c r="AE2" s="25">
        <f aca="true" t="shared" si="9" ref="AE2:AE9">IF(Q2="",0,IF(MID(Q2,1,1)="-",-1,1))</f>
        <v>0</v>
      </c>
      <c r="AF2" s="25">
        <f aca="true" t="shared" si="10" ref="AF2:AF9">IF(R2="",0,IF(MID(R2,1,1)="-",-1,1))</f>
        <v>0</v>
      </c>
    </row>
    <row r="3" spans="1:32" ht="12.75">
      <c r="A3" s="2" t="e">
        <f>CONCATENATE("Čtyřhra ",#REF!," - 1.kolo")</f>
        <v>#REF!</v>
      </c>
      <c r="B3" s="2">
        <f>MIX!$B$7</f>
        <v>0</v>
      </c>
      <c r="C3" s="22" t="str">
        <f>IF($B3=0,"bye",VLOOKUP($B3,seznam!$A$2:$D$269,2))</f>
        <v>bye</v>
      </c>
      <c r="D3" s="2">
        <f>IF($B3=0,"",VLOOKUP($B3,seznam!$A$2:$D$269,4))</f>
      </c>
      <c r="E3" s="2">
        <f>MIX!$B$8</f>
        <v>0</v>
      </c>
      <c r="F3" s="22" t="e">
        <f>IF($E3="","bye",VLOOKUP($E3,seznam!$A$2:$D$269,2))</f>
        <v>#N/A</v>
      </c>
      <c r="G3" s="2" t="e">
        <f>IF($E3="","",VLOOKUP($E3,seznam!$A$2:$D$269,4))</f>
        <v>#N/A</v>
      </c>
      <c r="H3" s="2">
        <f>MIX!$B$9</f>
        <v>0</v>
      </c>
      <c r="I3" s="23" t="str">
        <f>IF($H3=0,"bye",VLOOKUP($H3,seznam!$A$2:$D$269,2))</f>
        <v>bye</v>
      </c>
      <c r="J3" s="2">
        <f>IF($H3=0,"",VLOOKUP($H3,seznam!$A$2:$D$269,4))</f>
      </c>
      <c r="K3" s="2">
        <f>MIX!$B$10</f>
        <v>0</v>
      </c>
      <c r="L3" s="23" t="e">
        <f>IF($K3="","bye",VLOOKUP($K3,seznam!$A$2:$D$269,2))</f>
        <v>#N/A</v>
      </c>
      <c r="M3" s="2" t="e">
        <f>IF($K3="","",VLOOKUP($K3,seznam!$A$2:$D$269,4))</f>
        <v>#N/A</v>
      </c>
      <c r="N3" s="90" t="s">
        <v>95</v>
      </c>
      <c r="O3" s="90"/>
      <c r="P3" s="90"/>
      <c r="Q3" s="90"/>
      <c r="R3" s="90"/>
      <c r="S3" s="2">
        <f t="shared" si="0"/>
        <v>1</v>
      </c>
      <c r="T3" s="2">
        <f t="shared" si="1"/>
        <v>0</v>
      </c>
      <c r="U3" s="2">
        <f t="shared" si="2"/>
        <v>0</v>
      </c>
      <c r="V3" s="2">
        <f>IF($U3=0,"",VLOOKUP($U3,seznam!$A$2:$D$269,2))</f>
      </c>
      <c r="W3" s="2">
        <f t="shared" si="3"/>
        <v>0</v>
      </c>
      <c r="X3" s="2">
        <f>IF($W3=0,"",VLOOKUP($W3,seznam!$A$2:$D$269,2))</f>
      </c>
      <c r="Y3" s="2" t="str">
        <f t="shared" si="4"/>
        <v>1:0 (0,,)</v>
      </c>
      <c r="Z3" s="2">
        <f t="shared" si="5"/>
      </c>
      <c r="AB3" s="25">
        <f t="shared" si="6"/>
        <v>1</v>
      </c>
      <c r="AC3" s="25">
        <f t="shared" si="7"/>
        <v>0</v>
      </c>
      <c r="AD3" s="25">
        <f t="shared" si="8"/>
        <v>0</v>
      </c>
      <c r="AE3" s="25">
        <f t="shared" si="9"/>
        <v>0</v>
      </c>
      <c r="AF3" s="25">
        <f t="shared" si="10"/>
        <v>0</v>
      </c>
    </row>
    <row r="4" spans="1:32" ht="12.75">
      <c r="A4" s="2" t="e">
        <f>CONCATENATE("Čtyřhra ",#REF!," - 1.kolo")</f>
        <v>#REF!</v>
      </c>
      <c r="B4" s="2">
        <f>MIX!$B$11</f>
        <v>6</v>
      </c>
      <c r="C4" s="22" t="str">
        <f>IF($B4=0,"bye",VLOOKUP($B4,seznam!$A$2:$D$269,2))</f>
        <v>Havránek Ondřej</v>
      </c>
      <c r="D4" s="2" t="str">
        <f>IF($B4=0,"",VLOOKUP($B4,seznam!$A$2:$D$269,4))</f>
        <v>MS Brno</v>
      </c>
      <c r="E4" s="2">
        <f>MIX!$B$12</f>
        <v>47</v>
      </c>
      <c r="F4" s="22" t="str">
        <f>IF($E4="","bye",VLOOKUP($E4,seznam!$A$2:$D$269,2))</f>
        <v>Plíšková Kristýna</v>
      </c>
      <c r="G4" s="2" t="str">
        <f>IF($E4="","",VLOOKUP($E4,seznam!$A$2:$D$269,4))</f>
        <v>MS Brno</v>
      </c>
      <c r="H4" s="2">
        <f>MIX!$B$13</f>
        <v>0</v>
      </c>
      <c r="I4" s="23" t="str">
        <f>IF($H4=0,"bye",VLOOKUP($H4,seznam!$A$2:$D$269,2))</f>
        <v>bye</v>
      </c>
      <c r="J4" s="2">
        <f>IF($H4=0,"",VLOOKUP($H4,seznam!$A$2:$D$269,4))</f>
      </c>
      <c r="K4" s="2">
        <f>MIX!$B$14</f>
        <v>0</v>
      </c>
      <c r="L4" s="23" t="e">
        <f>IF($K4="","bye",VLOOKUP($K4,seznam!$A$2:$D$269,2))</f>
        <v>#N/A</v>
      </c>
      <c r="M4" s="2" t="e">
        <f>IF($K4="","",VLOOKUP($K4,seznam!$A$2:$D$269,4))</f>
        <v>#N/A</v>
      </c>
      <c r="N4" s="90" t="s">
        <v>95</v>
      </c>
      <c r="O4" s="90"/>
      <c r="P4" s="90"/>
      <c r="Q4" s="90"/>
      <c r="R4" s="90"/>
      <c r="S4" s="2">
        <f t="shared" si="0"/>
        <v>1</v>
      </c>
      <c r="T4" s="2">
        <f t="shared" si="1"/>
        <v>0</v>
      </c>
      <c r="U4" s="2">
        <f t="shared" si="2"/>
        <v>6</v>
      </c>
      <c r="V4" s="2" t="str">
        <f>IF($U4=0,"",VLOOKUP($U4,seznam!$A$2:$D$269,2))</f>
        <v>Havránek Ondřej</v>
      </c>
      <c r="W4" s="2">
        <f t="shared" si="3"/>
        <v>47</v>
      </c>
      <c r="X4" s="2" t="str">
        <f>IF($W4=0,"",VLOOKUP($W4,seznam!$A$2:$D$269,2))</f>
        <v>Plíšková Kristýna</v>
      </c>
      <c r="Y4" s="2" t="str">
        <f t="shared" si="4"/>
        <v>1:0 (0,,)</v>
      </c>
      <c r="Z4" s="2">
        <f t="shared" si="5"/>
      </c>
      <c r="AB4" s="25">
        <f t="shared" si="6"/>
        <v>1</v>
      </c>
      <c r="AC4" s="25">
        <f t="shared" si="7"/>
        <v>0</v>
      </c>
      <c r="AD4" s="25">
        <f t="shared" si="8"/>
        <v>0</v>
      </c>
      <c r="AE4" s="25">
        <f t="shared" si="9"/>
        <v>0</v>
      </c>
      <c r="AF4" s="25">
        <f t="shared" si="10"/>
        <v>0</v>
      </c>
    </row>
    <row r="5" spans="1:32" ht="12.75">
      <c r="A5" s="2" t="e">
        <f>CONCATENATE("Čtyřhra ",#REF!," - 1.kolo")</f>
        <v>#REF!</v>
      </c>
      <c r="B5" s="2">
        <f>MIX!$B$15</f>
        <v>0</v>
      </c>
      <c r="C5" s="22" t="str">
        <f>IF($B5=0,"bye",VLOOKUP($B5,seznam!$A$2:$D$269,2))</f>
        <v>bye</v>
      </c>
      <c r="D5" s="2">
        <f>IF($B5=0,"",VLOOKUP($B5,seznam!$A$2:$D$269,4))</f>
      </c>
      <c r="E5" s="2">
        <f>MIX!$B$16</f>
        <v>0</v>
      </c>
      <c r="F5" s="22" t="e">
        <f>IF($E5="","bye",VLOOKUP($E5,seznam!$A$2:$D$269,2))</f>
        <v>#N/A</v>
      </c>
      <c r="G5" s="2" t="e">
        <f>IF($E5="","",VLOOKUP($E5,seznam!$A$2:$D$269,4))</f>
        <v>#N/A</v>
      </c>
      <c r="H5" s="2">
        <f>MIX!$B$17</f>
        <v>7</v>
      </c>
      <c r="I5" s="23" t="str">
        <f>IF($H5=0,"bye",VLOOKUP($H5,seznam!$A$2:$D$269,2))</f>
        <v>Chalupa David</v>
      </c>
      <c r="J5" s="2" t="str">
        <f>IF($H5=0,"",VLOOKUP($H5,seznam!$A$2:$D$269,4))</f>
        <v>KST Blansko</v>
      </c>
      <c r="K5" s="2">
        <f>MIX!$B$18</f>
        <v>43</v>
      </c>
      <c r="L5" s="23" t="str">
        <f>IF($K5="","bye",VLOOKUP($K5,seznam!$A$2:$D$269,2))</f>
        <v>Pilitowská Lea</v>
      </c>
      <c r="M5" s="2" t="str">
        <f>IF($K5="","",VLOOKUP($K5,seznam!$A$2:$D$269,4))</f>
        <v>KST Blansko</v>
      </c>
      <c r="N5" s="90" t="s">
        <v>115</v>
      </c>
      <c r="O5" s="90"/>
      <c r="P5" s="90"/>
      <c r="Q5" s="90"/>
      <c r="R5" s="90"/>
      <c r="S5" s="2">
        <f t="shared" si="0"/>
        <v>0</v>
      </c>
      <c r="T5" s="2">
        <f t="shared" si="1"/>
        <v>1</v>
      </c>
      <c r="U5" s="2">
        <f t="shared" si="2"/>
        <v>7</v>
      </c>
      <c r="V5" s="2" t="str">
        <f>IF($U5=0,"",VLOOKUP($U5,seznam!$A$2:$D$269,2))</f>
        <v>Chalupa David</v>
      </c>
      <c r="W5" s="2">
        <f t="shared" si="3"/>
        <v>43</v>
      </c>
      <c r="X5" s="2" t="str">
        <f>IF($W5=0,"",VLOOKUP($W5,seznam!$A$2:$D$269,2))</f>
        <v>Pilitowská Lea</v>
      </c>
      <c r="Y5" s="2" t="str">
        <f t="shared" si="4"/>
        <v>1:0 (0,0,0)</v>
      </c>
      <c r="Z5" s="2">
        <f t="shared" si="5"/>
      </c>
      <c r="AB5" s="25">
        <f t="shared" si="6"/>
        <v>-1</v>
      </c>
      <c r="AC5" s="25">
        <f t="shared" si="7"/>
        <v>0</v>
      </c>
      <c r="AD5" s="25">
        <f t="shared" si="8"/>
        <v>0</v>
      </c>
      <c r="AE5" s="25">
        <f t="shared" si="9"/>
        <v>0</v>
      </c>
      <c r="AF5" s="25">
        <f t="shared" si="10"/>
        <v>0</v>
      </c>
    </row>
    <row r="6" spans="1:32" ht="12.75">
      <c r="A6" s="2" t="e">
        <f>CONCATENATE("Čtyřhra ",#REF!," - 1.kolo")</f>
        <v>#REF!</v>
      </c>
      <c r="B6" s="2">
        <f>MIX!$B$19</f>
        <v>5</v>
      </c>
      <c r="C6" s="22" t="str">
        <f>IF($B6=0,"bye",VLOOKUP($B6,seznam!$A$2:$D$269,2))</f>
        <v>Horníček Lukáš</v>
      </c>
      <c r="D6" s="2" t="str">
        <f>IF($B6=0,"",VLOOKUP($B6,seznam!$A$2:$D$269,4))</f>
        <v>MS Brno</v>
      </c>
      <c r="E6" s="2">
        <f>MIX!$B$20</f>
        <v>46</v>
      </c>
      <c r="F6" s="22" t="str">
        <f>IF($E6="","bye",VLOOKUP($E6,seznam!$A$2:$D$269,2))</f>
        <v>Plíšková Kateřina</v>
      </c>
      <c r="G6" s="2" t="str">
        <f>IF($E6="","",VLOOKUP($E6,seznam!$A$2:$D$269,4))</f>
        <v>MS Brno</v>
      </c>
      <c r="H6" s="2">
        <f>MIX!$B$21</f>
        <v>0</v>
      </c>
      <c r="I6" s="23" t="str">
        <f>IF($H6=0,"bye",VLOOKUP($H6,seznam!$A$2:$D$269,2))</f>
        <v>bye</v>
      </c>
      <c r="J6" s="2">
        <f>IF($H6=0,"",VLOOKUP($H6,seznam!$A$2:$D$269,4))</f>
      </c>
      <c r="K6" s="2">
        <f>MIX!$B$22</f>
      </c>
      <c r="L6" s="23" t="str">
        <f>IF($K6="","bye",VLOOKUP($K6,seznam!$A$2:$D$269,2))</f>
        <v>bye</v>
      </c>
      <c r="M6" s="2">
        <f>IF($K6="","",VLOOKUP($K6,seznam!$A$2:$D$269,4))</f>
      </c>
      <c r="N6" s="90" t="s">
        <v>95</v>
      </c>
      <c r="O6" s="90"/>
      <c r="P6" s="90"/>
      <c r="Q6" s="90"/>
      <c r="R6" s="90"/>
      <c r="S6" s="2">
        <f t="shared" si="0"/>
        <v>1</v>
      </c>
      <c r="T6" s="2">
        <f t="shared" si="1"/>
        <v>0</v>
      </c>
      <c r="U6" s="2">
        <f t="shared" si="2"/>
        <v>5</v>
      </c>
      <c r="V6" s="2" t="str">
        <f>IF($U6=0,"",VLOOKUP($U6,seznam!$A$2:$D$269,2))</f>
        <v>Horníček Lukáš</v>
      </c>
      <c r="W6" s="2">
        <f t="shared" si="3"/>
        <v>46</v>
      </c>
      <c r="X6" s="2" t="str">
        <f>IF($W6=0,"",VLOOKUP($W6,seznam!$A$2:$D$269,2))</f>
        <v>Plíšková Kateřina</v>
      </c>
      <c r="Y6" s="2" t="str">
        <f t="shared" si="4"/>
        <v>1:0 (0,,)</v>
      </c>
      <c r="Z6" s="2">
        <f t="shared" si="5"/>
      </c>
      <c r="AB6" s="25">
        <f t="shared" si="6"/>
        <v>1</v>
      </c>
      <c r="AC6" s="25">
        <f t="shared" si="7"/>
        <v>0</v>
      </c>
      <c r="AD6" s="25">
        <f t="shared" si="8"/>
        <v>0</v>
      </c>
      <c r="AE6" s="25">
        <f t="shared" si="9"/>
        <v>0</v>
      </c>
      <c r="AF6" s="25">
        <f t="shared" si="10"/>
        <v>0</v>
      </c>
    </row>
    <row r="7" spans="1:32" ht="12.75">
      <c r="A7" s="2" t="e">
        <f>CONCATENATE("Čtyřhra ",#REF!," - 1.kolo")</f>
        <v>#REF!</v>
      </c>
      <c r="B7" s="2">
        <f>MIX!$B$23</f>
        <v>0</v>
      </c>
      <c r="C7" s="22" t="str">
        <f>IF($B7=0,"bye",VLOOKUP($B7,seznam!$A$2:$D$269,2))</f>
        <v>bye</v>
      </c>
      <c r="D7" s="2">
        <f>IF($B7=0,"",VLOOKUP($B7,seznam!$A$2:$D$269,4))</f>
      </c>
      <c r="E7" s="2">
        <f>MIX!$B$24</f>
        <v>0</v>
      </c>
      <c r="F7" s="22" t="e">
        <f>IF($E7="","bye",VLOOKUP($E7,seznam!$A$2:$D$269,2))</f>
        <v>#N/A</v>
      </c>
      <c r="G7" s="2" t="e">
        <f>IF($E7="","",VLOOKUP($E7,seznam!$A$2:$D$269,4))</f>
        <v>#N/A</v>
      </c>
      <c r="H7" s="2">
        <f>MIX!$B$25</f>
        <v>13</v>
      </c>
      <c r="I7" s="23" t="str">
        <f>IF($H7=0,"bye",VLOOKUP($H7,seznam!$A$2:$D$269,2))</f>
        <v>Huták Ondřej</v>
      </c>
      <c r="J7" s="2" t="str">
        <f>IF($H7=0,"",VLOOKUP($H7,seznam!$A$2:$D$269,4))</f>
        <v>Klobouky u Brna</v>
      </c>
      <c r="K7" s="2">
        <f>MIX!$B$26</f>
        <v>49</v>
      </c>
      <c r="L7" s="23" t="str">
        <f>IF($K7="","bye",VLOOKUP($K7,seznam!$A$2:$D$269,2))</f>
        <v>Hutáková Pavla </v>
      </c>
      <c r="M7" s="2" t="str">
        <f>IF($K7="","",VLOOKUP($K7,seznam!$A$2:$D$269,4))</f>
        <v>Klobouky u Brna</v>
      </c>
      <c r="N7" s="90" t="s">
        <v>115</v>
      </c>
      <c r="O7" s="90"/>
      <c r="P7" s="90"/>
      <c r="Q7" s="90"/>
      <c r="R7" s="90"/>
      <c r="S7" s="2">
        <f t="shared" si="0"/>
        <v>0</v>
      </c>
      <c r="T7" s="2">
        <f t="shared" si="1"/>
        <v>1</v>
      </c>
      <c r="U7" s="2">
        <f t="shared" si="2"/>
        <v>13</v>
      </c>
      <c r="V7" s="2" t="str">
        <f>IF($U7=0,"",VLOOKUP($U7,seznam!$A$2:$D$269,2))</f>
        <v>Huták Ondřej</v>
      </c>
      <c r="W7" s="2">
        <f t="shared" si="3"/>
        <v>49</v>
      </c>
      <c r="X7" s="2" t="str">
        <f>IF($W7=0,"",VLOOKUP($W7,seznam!$A$2:$D$269,2))</f>
        <v>Hutáková Pavla </v>
      </c>
      <c r="Y7" s="2" t="str">
        <f t="shared" si="4"/>
        <v>1:0 (0,0,0)</v>
      </c>
      <c r="Z7" s="2">
        <f t="shared" si="5"/>
      </c>
      <c r="AB7" s="25">
        <f t="shared" si="6"/>
        <v>-1</v>
      </c>
      <c r="AC7" s="25">
        <f t="shared" si="7"/>
        <v>0</v>
      </c>
      <c r="AD7" s="25">
        <f t="shared" si="8"/>
        <v>0</v>
      </c>
      <c r="AE7" s="25">
        <f t="shared" si="9"/>
        <v>0</v>
      </c>
      <c r="AF7" s="25">
        <f t="shared" si="10"/>
        <v>0</v>
      </c>
    </row>
    <row r="8" spans="1:32" ht="12.75">
      <c r="A8" s="2" t="e">
        <f>CONCATENATE("Čtyřhra ",#REF!," - 1.kolo")</f>
        <v>#REF!</v>
      </c>
      <c r="B8" s="2">
        <f>MIX!$B$27</f>
        <v>0</v>
      </c>
      <c r="C8" s="22" t="str">
        <f>IF($B8=0,"bye",VLOOKUP($B8,seznam!$A$2:$D$269,2))</f>
        <v>bye</v>
      </c>
      <c r="D8" s="2">
        <f>IF($B8=0,"",VLOOKUP($B8,seznam!$A$2:$D$269,4))</f>
      </c>
      <c r="E8" s="2">
        <f>MIX!$B$28</f>
        <v>0</v>
      </c>
      <c r="F8" s="22" t="e">
        <f>IF($E8="","bye",VLOOKUP($E8,seznam!$A$2:$D$269,2))</f>
        <v>#N/A</v>
      </c>
      <c r="G8" s="2" t="e">
        <f>IF($E8="","",VLOOKUP($E8,seznam!$A$2:$D$269,4))</f>
        <v>#N/A</v>
      </c>
      <c r="H8" s="2">
        <f>MIX!$B$29</f>
        <v>0</v>
      </c>
      <c r="I8" s="23" t="str">
        <f>IF($H8=0,"bye",VLOOKUP($H8,seznam!$A$2:$D$269,2))</f>
        <v>bye</v>
      </c>
      <c r="J8" s="2">
        <f>IF($H8=0,"",VLOOKUP($H8,seznam!$A$2:$D$269,4))</f>
      </c>
      <c r="K8" s="2">
        <f>MIX!$B$30</f>
        <v>0</v>
      </c>
      <c r="L8" s="23" t="e">
        <f>IF($K8="","bye",VLOOKUP($K8,seznam!$A$2:$D$269,2))</f>
        <v>#N/A</v>
      </c>
      <c r="M8" s="2" t="e">
        <f>IF($K8="","",VLOOKUP($K8,seznam!$A$2:$D$269,4))</f>
        <v>#N/A</v>
      </c>
      <c r="N8" s="90" t="s">
        <v>95</v>
      </c>
      <c r="O8" s="90"/>
      <c r="P8" s="90"/>
      <c r="Q8" s="90"/>
      <c r="R8" s="90"/>
      <c r="S8" s="2">
        <f t="shared" si="0"/>
        <v>1</v>
      </c>
      <c r="T8" s="2">
        <f t="shared" si="1"/>
        <v>0</v>
      </c>
      <c r="U8" s="2">
        <f t="shared" si="2"/>
        <v>0</v>
      </c>
      <c r="V8" s="2">
        <f>IF($U8=0,"",VLOOKUP($U8,seznam!$A$2:$D$269,2))</f>
      </c>
      <c r="W8" s="2">
        <f t="shared" si="3"/>
        <v>0</v>
      </c>
      <c r="X8" s="2">
        <f>IF($W8=0,"",VLOOKUP($W8,seznam!$A$2:$D$269,2))</f>
      </c>
      <c r="Y8" s="2" t="str">
        <f t="shared" si="4"/>
        <v>1:0 (0,,)</v>
      </c>
      <c r="Z8" s="2">
        <f t="shared" si="5"/>
      </c>
      <c r="AB8" s="25">
        <f t="shared" si="6"/>
        <v>1</v>
      </c>
      <c r="AC8" s="25">
        <f t="shared" si="7"/>
        <v>0</v>
      </c>
      <c r="AD8" s="25">
        <f t="shared" si="8"/>
        <v>0</v>
      </c>
      <c r="AE8" s="25">
        <f t="shared" si="9"/>
        <v>0</v>
      </c>
      <c r="AF8" s="25">
        <f t="shared" si="10"/>
        <v>0</v>
      </c>
    </row>
    <row r="9" spans="1:32" ht="12.75">
      <c r="A9" s="2" t="e">
        <f>CONCATENATE("Čtyřhra ",#REF!," - 1.kolo")</f>
        <v>#REF!</v>
      </c>
      <c r="B9" s="2">
        <f>MIX!$B$31</f>
        <v>0</v>
      </c>
      <c r="C9" s="22" t="str">
        <f>IF($B9=0,"bye",VLOOKUP($B9,seznam!$A$2:$D$269,2))</f>
        <v>bye</v>
      </c>
      <c r="D9" s="2">
        <f>IF($B9=0,"",VLOOKUP($B9,seznam!$A$2:$D$269,4))</f>
      </c>
      <c r="E9" s="2">
        <f>MIX!$B$32</f>
      </c>
      <c r="F9" s="22" t="str">
        <f>IF($E9="","bye",VLOOKUP($E9,seznam!$A$2:$D$269,2))</f>
        <v>bye</v>
      </c>
      <c r="G9" s="2">
        <f>IF($E9="","",VLOOKUP($E9,seznam!$A$2:$D$269,4))</f>
      </c>
      <c r="H9" s="2">
        <f>MIX!$B$33</f>
        <v>8</v>
      </c>
      <c r="I9" s="23" t="str">
        <f>IF($H9=0,"bye",VLOOKUP($H9,seznam!$A$2:$D$269,2))</f>
        <v>Kurdiovský Matěj</v>
      </c>
      <c r="J9" s="2" t="str">
        <f>IF($H9=0,"",VLOOKUP($H9,seznam!$A$2:$D$269,4))</f>
        <v>Tišnov</v>
      </c>
      <c r="K9" s="2">
        <f>MIX!$B$34</f>
        <v>42</v>
      </c>
      <c r="L9" s="23" t="str">
        <f>IF($K9="","bye",VLOOKUP($K9,seznam!$A$2:$D$269,2))</f>
        <v>Dreits Anastasiia</v>
      </c>
      <c r="M9" s="2" t="str">
        <f>IF($K9="","",VLOOKUP($K9,seznam!$A$2:$D$269,4))</f>
        <v>Tišnov</v>
      </c>
      <c r="N9" s="90" t="s">
        <v>115</v>
      </c>
      <c r="O9" s="90"/>
      <c r="P9" s="90"/>
      <c r="Q9" s="90"/>
      <c r="R9" s="90"/>
      <c r="S9" s="2">
        <f t="shared" si="0"/>
        <v>0</v>
      </c>
      <c r="T9" s="2">
        <f t="shared" si="1"/>
        <v>1</v>
      </c>
      <c r="U9" s="2">
        <f t="shared" si="2"/>
        <v>8</v>
      </c>
      <c r="V9" s="2" t="str">
        <f>IF($U9=0,"",VLOOKUP($U9,seznam!$A$2:$D$269,2))</f>
        <v>Kurdiovský Matěj</v>
      </c>
      <c r="W9" s="2">
        <f t="shared" si="3"/>
        <v>42</v>
      </c>
      <c r="X9" s="2" t="str">
        <f>IF($W9=0,"",VLOOKUP($W9,seznam!$A$2:$D$269,2))</f>
        <v>Dreits Anastasiia</v>
      </c>
      <c r="Y9" s="2" t="str">
        <f t="shared" si="4"/>
        <v>1:0 (0,0,0)</v>
      </c>
      <c r="Z9" s="2">
        <f t="shared" si="5"/>
      </c>
      <c r="AB9" s="25">
        <f t="shared" si="6"/>
        <v>-1</v>
      </c>
      <c r="AC9" s="25">
        <f t="shared" si="7"/>
        <v>0</v>
      </c>
      <c r="AD9" s="25">
        <f t="shared" si="8"/>
        <v>0</v>
      </c>
      <c r="AE9" s="25">
        <f t="shared" si="9"/>
        <v>0</v>
      </c>
      <c r="AF9" s="25">
        <f t="shared" si="10"/>
        <v>0</v>
      </c>
    </row>
    <row r="10" spans="1:32" ht="12.75">
      <c r="A10" s="2" t="e">
        <f>CONCATENATE("Čtyřhra ",#REF!," - 2.kolo")</f>
        <v>#REF!</v>
      </c>
      <c r="B10" s="2">
        <f>U2</f>
        <v>1</v>
      </c>
      <c r="C10" s="22" t="str">
        <f>IF($B10=0,"",VLOOKUP($B10,seznam!$A$2:$D$269,2))</f>
        <v>Nespěšný Hynek</v>
      </c>
      <c r="D10" s="2" t="str">
        <f>IF($B10=0,"",VLOOKUP($B10,seznam!$A$2:$D$269,4))</f>
        <v>MS Brno</v>
      </c>
      <c r="E10" s="2">
        <f>W2</f>
        <v>41</v>
      </c>
      <c r="F10" s="22" t="str">
        <f>IF($E10=0,"",VLOOKUP($E10,seznam!$A$2:$D$269,2))</f>
        <v>Sobotíková Monika</v>
      </c>
      <c r="G10" s="2" t="str">
        <f>IF($E10=0,"",VLOOKUP($E10,seznam!$A$2:$D$269,4))</f>
        <v>MS Brno</v>
      </c>
      <c r="H10" s="2">
        <f>U3</f>
        <v>0</v>
      </c>
      <c r="I10" s="23">
        <f>IF($H10=0,"",VLOOKUP($H10,seznam!$A$2:$D$269,2))</f>
      </c>
      <c r="J10" s="2">
        <f>IF($H10=0,"",VLOOKUP($H10,seznam!$A$2:$D$269,4))</f>
      </c>
      <c r="K10" s="2">
        <f>W3</f>
        <v>0</v>
      </c>
      <c r="L10" s="23">
        <f>IF($K10=0,"",VLOOKUP($K10,seznam!$A$2:$D$269,2))</f>
      </c>
      <c r="M10" s="2">
        <f>IF($K10=0,"",VLOOKUP($K10,seznam!$A$2:$D$269,4))</f>
      </c>
      <c r="N10" s="90" t="s">
        <v>95</v>
      </c>
      <c r="O10" s="90"/>
      <c r="P10" s="90"/>
      <c r="Q10" s="90"/>
      <c r="R10" s="90"/>
      <c r="S10" s="2">
        <f aca="true" t="shared" si="11" ref="S10:S16">COUNTIF(AB10:AF10,"&gt;0")</f>
        <v>1</v>
      </c>
      <c r="T10" s="2">
        <f aca="true" t="shared" si="12" ref="T10:T16">COUNTIF(AB10:AF10,"&lt;0")</f>
        <v>0</v>
      </c>
      <c r="U10" s="2">
        <f aca="true" t="shared" si="13" ref="U10:U16">IF(S10=T10,0,IF(S10&gt;T10,B10,H10))</f>
        <v>1</v>
      </c>
      <c r="V10" s="2" t="str">
        <f>IF($U10=0,"",VLOOKUP($U10,seznam!$A$2:$D$269,2))</f>
        <v>Nespěšný Hynek</v>
      </c>
      <c r="W10" s="2">
        <f aca="true" t="shared" si="14" ref="W10:W16">IF(S10=T10,0,IF(S10&gt;T10,E10,K10))</f>
        <v>41</v>
      </c>
      <c r="X10" s="2" t="str">
        <f>IF($W10=0,"",VLOOKUP($W10,seznam!$A$2:$D$269,2))</f>
        <v>Sobotíková Monika</v>
      </c>
      <c r="Y10" s="2" t="str">
        <f aca="true" t="shared" si="15" ref="Y10:Y16">IF(S10=T10,"",IF(S10&gt;T10,CONCATENATE(S10,":",T10," (",N10,",",O10,",",P10,IF(SUM(S10:T10)&gt;3,",",""),Q10,IF(SUM(S10:T10)&gt;4,",",""),R10,")"),CONCATENATE(T10,":",S10," (",-N10,",",-O10,",",-P10,IF(SUM(S10:T10)&gt;3,",",""),IF(SUM(S10:T10)&gt;3,-Q10,""),IF(SUM(S10:T10)&gt;4,",",""),IF(SUM(S10:T10)&gt;4,-R10,""),")")))</f>
        <v>1:0 (0,,)</v>
      </c>
      <c r="Z10" s="2">
        <f aca="true" t="shared" si="16" ref="Z10:Z16">IF(MAX(S10:T10)=3,Y10,"")</f>
      </c>
      <c r="AB10" s="25">
        <f aca="true" t="shared" si="17" ref="AB10:AF13">IF(N10="",0,IF(MID(N10,1,1)="-",-1,1))</f>
        <v>1</v>
      </c>
      <c r="AC10" s="25">
        <f t="shared" si="17"/>
        <v>0</v>
      </c>
      <c r="AD10" s="25">
        <f t="shared" si="17"/>
        <v>0</v>
      </c>
      <c r="AE10" s="25">
        <f t="shared" si="17"/>
        <v>0</v>
      </c>
      <c r="AF10" s="25">
        <f t="shared" si="17"/>
        <v>0</v>
      </c>
    </row>
    <row r="11" spans="1:32" ht="12.75">
      <c r="A11" s="2" t="e">
        <f>CONCATENATE("Čtyřhra ",#REF!," - 2.kolo")</f>
        <v>#REF!</v>
      </c>
      <c r="B11" s="2">
        <f>U4</f>
        <v>6</v>
      </c>
      <c r="C11" s="22" t="str">
        <f>IF($B11=0,"",VLOOKUP($B11,seznam!$A$2:$D$269,2))</f>
        <v>Havránek Ondřej</v>
      </c>
      <c r="D11" s="2" t="str">
        <f>IF($B11=0,"",VLOOKUP($B11,seznam!$A$2:$D$269,4))</f>
        <v>MS Brno</v>
      </c>
      <c r="E11" s="2">
        <f>W4</f>
        <v>47</v>
      </c>
      <c r="F11" s="22" t="str">
        <f>IF($E11=0,"",VLOOKUP($E11,seznam!$A$2:$D$269,2))</f>
        <v>Plíšková Kristýna</v>
      </c>
      <c r="G11" s="2" t="str">
        <f>IF($E11=0,"",VLOOKUP($E11,seznam!$A$2:$D$269,4))</f>
        <v>MS Brno</v>
      </c>
      <c r="H11" s="2">
        <f>U5</f>
        <v>7</v>
      </c>
      <c r="I11" s="23" t="str">
        <f>IF($H11=0,"",VLOOKUP($H11,seznam!$A$2:$D$269,2))</f>
        <v>Chalupa David</v>
      </c>
      <c r="J11" s="2" t="str">
        <f>IF($H11=0,"",VLOOKUP($H11,seznam!$A$2:$D$269,4))</f>
        <v>KST Blansko</v>
      </c>
      <c r="K11" s="2">
        <f>W5</f>
        <v>43</v>
      </c>
      <c r="L11" s="23" t="str">
        <f>IF($K11=0,"",VLOOKUP($K11,seznam!$A$2:$D$269,2))</f>
        <v>Pilitowská Lea</v>
      </c>
      <c r="M11" s="2" t="str">
        <f>IF($K11=0,"",VLOOKUP($K11,seznam!$A$2:$D$269,4))</f>
        <v>KST Blansko</v>
      </c>
      <c r="N11" s="90" t="s">
        <v>109</v>
      </c>
      <c r="O11" s="90" t="s">
        <v>99</v>
      </c>
      <c r="P11" s="90" t="s">
        <v>102</v>
      </c>
      <c r="Q11" s="90" t="s">
        <v>114</v>
      </c>
      <c r="R11" s="90"/>
      <c r="S11" s="2">
        <f t="shared" si="11"/>
        <v>1</v>
      </c>
      <c r="T11" s="2">
        <f t="shared" si="12"/>
        <v>3</v>
      </c>
      <c r="U11" s="2">
        <f t="shared" si="13"/>
        <v>7</v>
      </c>
      <c r="V11" s="2" t="str">
        <f>IF($U11=0,"",VLOOKUP($U11,seznam!$A$2:$D$269,2))</f>
        <v>Chalupa David</v>
      </c>
      <c r="W11" s="2">
        <f t="shared" si="14"/>
        <v>43</v>
      </c>
      <c r="X11" s="2" t="str">
        <f>IF($W11=0,"",VLOOKUP($W11,seznam!$A$2:$D$269,2))</f>
        <v>Pilitowská Lea</v>
      </c>
      <c r="Y11" s="2" t="str">
        <f t="shared" si="15"/>
        <v>3:1 (5,-3,9,8)</v>
      </c>
      <c r="Z11" s="2" t="str">
        <f t="shared" si="16"/>
        <v>3:1 (5,-3,9,8)</v>
      </c>
      <c r="AB11" s="25">
        <f t="shared" si="17"/>
        <v>-1</v>
      </c>
      <c r="AC11" s="25">
        <f t="shared" si="17"/>
        <v>1</v>
      </c>
      <c r="AD11" s="25">
        <f t="shared" si="17"/>
        <v>-1</v>
      </c>
      <c r="AE11" s="25">
        <f t="shared" si="17"/>
        <v>-1</v>
      </c>
      <c r="AF11" s="25">
        <f t="shared" si="17"/>
        <v>0</v>
      </c>
    </row>
    <row r="12" spans="1:32" ht="12.75">
      <c r="A12" s="2" t="e">
        <f>CONCATENATE("Čtyřhra ",#REF!," - 2.kolo")</f>
        <v>#REF!</v>
      </c>
      <c r="B12" s="2">
        <f>U6</f>
        <v>5</v>
      </c>
      <c r="C12" s="22" t="str">
        <f>IF($B12=0,"",VLOOKUP($B12,seznam!$A$2:$D$269,2))</f>
        <v>Horníček Lukáš</v>
      </c>
      <c r="D12" s="2" t="str">
        <f>IF($B12=0,"",VLOOKUP($B12,seznam!$A$2:$D$269,4))</f>
        <v>MS Brno</v>
      </c>
      <c r="E12" s="2">
        <f>W6</f>
        <v>46</v>
      </c>
      <c r="F12" s="22" t="str">
        <f>IF($E12=0,"",VLOOKUP($E12,seznam!$A$2:$D$269,2))</f>
        <v>Plíšková Kateřina</v>
      </c>
      <c r="G12" s="2" t="str">
        <f>IF($E12=0,"",VLOOKUP($E12,seznam!$A$2:$D$269,4))</f>
        <v>MS Brno</v>
      </c>
      <c r="H12" s="2">
        <f>U7</f>
        <v>13</v>
      </c>
      <c r="I12" s="23" t="str">
        <f>IF($H12=0,"",VLOOKUP($H12,seznam!$A$2:$D$269,2))</f>
        <v>Huták Ondřej</v>
      </c>
      <c r="J12" s="2" t="str">
        <f>IF($H12=0,"",VLOOKUP($H12,seznam!$A$2:$D$269,4))</f>
        <v>Klobouky u Brna</v>
      </c>
      <c r="K12" s="2">
        <f>W7</f>
        <v>49</v>
      </c>
      <c r="L12" s="23" t="str">
        <f>IF($K12=0,"",VLOOKUP($K12,seznam!$A$2:$D$269,2))</f>
        <v>Hutáková Pavla </v>
      </c>
      <c r="M12" s="2" t="str">
        <f>IF($K12=0,"",VLOOKUP($K12,seznam!$A$2:$D$269,4))</f>
        <v>Klobouky u Brna</v>
      </c>
      <c r="N12" s="90" t="s">
        <v>114</v>
      </c>
      <c r="O12" s="90" t="s">
        <v>104</v>
      </c>
      <c r="P12" s="90" t="s">
        <v>104</v>
      </c>
      <c r="Q12" s="90"/>
      <c r="R12" s="90"/>
      <c r="S12" s="2">
        <f t="shared" si="11"/>
        <v>0</v>
      </c>
      <c r="T12" s="2">
        <f t="shared" si="12"/>
        <v>3</v>
      </c>
      <c r="U12" s="2">
        <f t="shared" si="13"/>
        <v>13</v>
      </c>
      <c r="V12" s="2" t="str">
        <f>IF($U12=0,"",VLOOKUP($U12,seznam!$A$2:$D$269,2))</f>
        <v>Huták Ondřej</v>
      </c>
      <c r="W12" s="2">
        <f t="shared" si="14"/>
        <v>49</v>
      </c>
      <c r="X12" s="2" t="str">
        <f>IF($W12=0,"",VLOOKUP($W12,seznam!$A$2:$D$269,2))</f>
        <v>Hutáková Pavla </v>
      </c>
      <c r="Y12" s="2" t="str">
        <f t="shared" si="15"/>
        <v>3:0 (8,6,6)</v>
      </c>
      <c r="Z12" s="2" t="str">
        <f t="shared" si="16"/>
        <v>3:0 (8,6,6)</v>
      </c>
      <c r="AB12" s="25">
        <f t="shared" si="17"/>
        <v>-1</v>
      </c>
      <c r="AC12" s="25">
        <f t="shared" si="17"/>
        <v>-1</v>
      </c>
      <c r="AD12" s="25">
        <f t="shared" si="17"/>
        <v>-1</v>
      </c>
      <c r="AE12" s="25">
        <f t="shared" si="17"/>
        <v>0</v>
      </c>
      <c r="AF12" s="25">
        <f t="shared" si="17"/>
        <v>0</v>
      </c>
    </row>
    <row r="13" spans="1:32" ht="12.75">
      <c r="A13" s="2" t="e">
        <f>CONCATENATE("Čtyřhra ",#REF!," - 2.kolo")</f>
        <v>#REF!</v>
      </c>
      <c r="B13" s="2">
        <f>U8</f>
        <v>0</v>
      </c>
      <c r="C13" s="22">
        <f>IF($B13=0,"",VLOOKUP($B13,seznam!$A$2:$D$269,2))</f>
      </c>
      <c r="D13" s="2">
        <f>IF($B13=0,"",VLOOKUP($B13,seznam!$A$2:$D$269,4))</f>
      </c>
      <c r="E13" s="2">
        <f>W8</f>
        <v>0</v>
      </c>
      <c r="F13" s="22">
        <f>IF($E13=0,"",VLOOKUP($E13,seznam!$A$2:$D$269,2))</f>
      </c>
      <c r="G13" s="2">
        <f>IF($E13=0,"",VLOOKUP($E13,seznam!$A$2:$D$269,4))</f>
      </c>
      <c r="H13" s="2">
        <f>U9</f>
        <v>8</v>
      </c>
      <c r="I13" s="23" t="str">
        <f>IF($H13=0,"",VLOOKUP($H13,seznam!$A$2:$D$269,2))</f>
        <v>Kurdiovský Matěj</v>
      </c>
      <c r="J13" s="2" t="str">
        <f>IF($H13=0,"",VLOOKUP($H13,seznam!$A$2:$D$269,4))</f>
        <v>Tišnov</v>
      </c>
      <c r="K13" s="2">
        <f>W9</f>
        <v>42</v>
      </c>
      <c r="L13" s="23" t="str">
        <f>IF($K13=0,"",VLOOKUP($K13,seznam!$A$2:$D$269,2))</f>
        <v>Dreits Anastasiia</v>
      </c>
      <c r="M13" s="2" t="str">
        <f>IF($K13=0,"",VLOOKUP($K13,seznam!$A$2:$D$269,4))</f>
        <v>Tišnov</v>
      </c>
      <c r="N13" s="90" t="s">
        <v>115</v>
      </c>
      <c r="O13" s="90"/>
      <c r="P13" s="90"/>
      <c r="Q13" s="90"/>
      <c r="R13" s="90"/>
      <c r="S13" s="2">
        <f t="shared" si="11"/>
        <v>0</v>
      </c>
      <c r="T13" s="2">
        <f t="shared" si="12"/>
        <v>1</v>
      </c>
      <c r="U13" s="2">
        <f t="shared" si="13"/>
        <v>8</v>
      </c>
      <c r="V13" s="2" t="str">
        <f>IF($U13=0,"",VLOOKUP($U13,seznam!$A$2:$D$269,2))</f>
        <v>Kurdiovský Matěj</v>
      </c>
      <c r="W13" s="2">
        <f t="shared" si="14"/>
        <v>42</v>
      </c>
      <c r="X13" s="2" t="str">
        <f>IF($W13=0,"",VLOOKUP($W13,seznam!$A$2:$D$269,2))</f>
        <v>Dreits Anastasiia</v>
      </c>
      <c r="Y13" s="2" t="str">
        <f t="shared" si="15"/>
        <v>1:0 (0,0,0)</v>
      </c>
      <c r="Z13" s="2">
        <f t="shared" si="16"/>
      </c>
      <c r="AB13" s="25">
        <f t="shared" si="17"/>
        <v>-1</v>
      </c>
      <c r="AC13" s="25">
        <f t="shared" si="17"/>
        <v>0</v>
      </c>
      <c r="AD13" s="25">
        <f t="shared" si="17"/>
        <v>0</v>
      </c>
      <c r="AE13" s="25">
        <f t="shared" si="17"/>
        <v>0</v>
      </c>
      <c r="AF13" s="25">
        <f t="shared" si="17"/>
        <v>0</v>
      </c>
    </row>
    <row r="14" spans="1:32" ht="12.75">
      <c r="A14" s="2" t="e">
        <f>CONCATENATE("Čtyřhra ",#REF!," - čtvrtfinále")</f>
        <v>#REF!</v>
      </c>
      <c r="B14" s="2">
        <f>U10</f>
        <v>1</v>
      </c>
      <c r="C14" s="22" t="str">
        <f>IF($B14=0,"",VLOOKUP($B14,seznam!$A$2:$D$269,2))</f>
        <v>Nespěšný Hynek</v>
      </c>
      <c r="D14" s="2" t="str">
        <f>IF($B14=0,"",VLOOKUP($B14,seznam!$A$2:$D$269,4))</f>
        <v>MS Brno</v>
      </c>
      <c r="E14" s="2">
        <f>W10</f>
        <v>41</v>
      </c>
      <c r="F14" s="22" t="str">
        <f>IF($E14=0,"",VLOOKUP($E14,seznam!$A$2:$D$269,2))</f>
        <v>Sobotíková Monika</v>
      </c>
      <c r="G14" s="2" t="str">
        <f>IF($E14=0,"",VLOOKUP($E14,seznam!$A$2:$D$269,4))</f>
        <v>MS Brno</v>
      </c>
      <c r="H14" s="2">
        <f>U11</f>
        <v>7</v>
      </c>
      <c r="I14" s="23" t="str">
        <f>IF($H14=0,"",VLOOKUP($H14,seznam!$A$2:$D$269,2))</f>
        <v>Chalupa David</v>
      </c>
      <c r="J14" s="2" t="str">
        <f>IF($H14=0,"",VLOOKUP($H14,seznam!$A$2:$D$269,4))</f>
        <v>KST Blansko</v>
      </c>
      <c r="K14" s="2">
        <f>W11</f>
        <v>43</v>
      </c>
      <c r="L14" s="23" t="str">
        <f>IF($K14=0,"",VLOOKUP($K14,seznam!$A$2:$D$269,2))</f>
        <v>Pilitowská Lea</v>
      </c>
      <c r="M14" s="2" t="str">
        <f>IF($K14=0,"",VLOOKUP($K14,seznam!$A$2:$D$269,4))</f>
        <v>KST Blansko</v>
      </c>
      <c r="N14" s="90" t="s">
        <v>125</v>
      </c>
      <c r="O14" s="90" t="s">
        <v>108</v>
      </c>
      <c r="P14" s="90" t="s">
        <v>99</v>
      </c>
      <c r="Q14" s="90" t="s">
        <v>100</v>
      </c>
      <c r="R14" s="90"/>
      <c r="S14" s="2">
        <f t="shared" si="11"/>
        <v>3</v>
      </c>
      <c r="T14" s="2">
        <f t="shared" si="12"/>
        <v>1</v>
      </c>
      <c r="U14" s="2">
        <f t="shared" si="13"/>
        <v>1</v>
      </c>
      <c r="V14" s="2" t="str">
        <f>IF($U14=0,"",VLOOKUP($U14,seznam!$A$2:$D$269,2))</f>
        <v>Nespěšný Hynek</v>
      </c>
      <c r="W14" s="2">
        <f t="shared" si="14"/>
        <v>41</v>
      </c>
      <c r="X14" s="2" t="str">
        <f>IF($W14=0,"",VLOOKUP($W14,seznam!$A$2:$D$269,2))</f>
        <v>Sobotíková Monika</v>
      </c>
      <c r="Y14" s="2" t="str">
        <f t="shared" si="15"/>
        <v>3:1 (15,-7,3,7)</v>
      </c>
      <c r="Z14" s="2" t="str">
        <f t="shared" si="16"/>
        <v>3:1 (15,-7,3,7)</v>
      </c>
      <c r="AB14" s="25">
        <f aca="true" t="shared" si="18" ref="AB14:AF15">IF(N14="",0,IF(MID(N14,1,1)="-",-1,1))</f>
        <v>1</v>
      </c>
      <c r="AC14" s="25">
        <f t="shared" si="18"/>
        <v>-1</v>
      </c>
      <c r="AD14" s="25">
        <f t="shared" si="18"/>
        <v>1</v>
      </c>
      <c r="AE14" s="25">
        <f t="shared" si="18"/>
        <v>1</v>
      </c>
      <c r="AF14" s="25">
        <f t="shared" si="18"/>
        <v>0</v>
      </c>
    </row>
    <row r="15" spans="1:32" ht="12.75">
      <c r="A15" s="2" t="e">
        <f>CONCATENATE("Čtyřhra ",#REF!," - čtvrtfinále")</f>
        <v>#REF!</v>
      </c>
      <c r="B15" s="2">
        <f>U12</f>
        <v>13</v>
      </c>
      <c r="C15" s="22" t="str">
        <f>IF($B15=0,"",VLOOKUP($B15,seznam!$A$2:$D$269,2))</f>
        <v>Huták Ondřej</v>
      </c>
      <c r="D15" s="2" t="str">
        <f>IF($B15=0,"",VLOOKUP($B15,seznam!$A$2:$D$269,4))</f>
        <v>Klobouky u Brna</v>
      </c>
      <c r="E15" s="2">
        <f>W12</f>
        <v>49</v>
      </c>
      <c r="F15" s="22" t="str">
        <f>IF($E15=0,"",VLOOKUP($E15,seznam!$A$2:$D$269,2))</f>
        <v>Hutáková Pavla </v>
      </c>
      <c r="G15" s="2" t="str">
        <f>IF($E15=0,"",VLOOKUP($E15,seznam!$A$2:$D$269,4))</f>
        <v>Klobouky u Brna</v>
      </c>
      <c r="H15" s="2">
        <f>U13</f>
        <v>8</v>
      </c>
      <c r="I15" s="23" t="str">
        <f>IF($H15=0,"",VLOOKUP($H15,seznam!$A$2:$D$269,2))</f>
        <v>Kurdiovský Matěj</v>
      </c>
      <c r="J15" s="2" t="str">
        <f>IF($H15=0,"",VLOOKUP($H15,seznam!$A$2:$D$269,4))</f>
        <v>Tišnov</v>
      </c>
      <c r="K15" s="2">
        <f>W13</f>
        <v>42</v>
      </c>
      <c r="L15" s="23" t="str">
        <f>IF($K15=0,"",VLOOKUP($K15,seznam!$A$2:$D$269,2))</f>
        <v>Dreits Anastasiia</v>
      </c>
      <c r="M15" s="2" t="str">
        <f>IF($K15=0,"",VLOOKUP($K15,seznam!$A$2:$D$269,4))</f>
        <v>Tišnov</v>
      </c>
      <c r="N15" s="90" t="s">
        <v>94</v>
      </c>
      <c r="O15" s="90" t="s">
        <v>114</v>
      </c>
      <c r="P15" s="90" t="s">
        <v>101</v>
      </c>
      <c r="Q15" s="90" t="s">
        <v>96</v>
      </c>
      <c r="R15" s="90"/>
      <c r="S15" s="2">
        <f t="shared" si="11"/>
        <v>3</v>
      </c>
      <c r="T15" s="2">
        <f t="shared" si="12"/>
        <v>1</v>
      </c>
      <c r="U15" s="2">
        <f t="shared" si="13"/>
        <v>13</v>
      </c>
      <c r="V15" s="2" t="str">
        <f>IF($U15=0,"",VLOOKUP($U15,seznam!$A$2:$D$269,2))</f>
        <v>Huták Ondřej</v>
      </c>
      <c r="W15" s="2">
        <f t="shared" si="14"/>
        <v>49</v>
      </c>
      <c r="X15" s="2" t="str">
        <f>IF($W15=0,"",VLOOKUP($W15,seznam!$A$2:$D$269,2))</f>
        <v>Hutáková Pavla </v>
      </c>
      <c r="Y15" s="2" t="str">
        <f t="shared" si="15"/>
        <v>3:1 (8,-8,9,6)</v>
      </c>
      <c r="Z15" s="2" t="str">
        <f t="shared" si="16"/>
        <v>3:1 (8,-8,9,6)</v>
      </c>
      <c r="AB15" s="25">
        <f t="shared" si="18"/>
        <v>1</v>
      </c>
      <c r="AC15" s="25">
        <f t="shared" si="18"/>
        <v>-1</v>
      </c>
      <c r="AD15" s="25">
        <f t="shared" si="18"/>
        <v>1</v>
      </c>
      <c r="AE15" s="25">
        <f t="shared" si="18"/>
        <v>1</v>
      </c>
      <c r="AF15" s="25">
        <f t="shared" si="18"/>
        <v>0</v>
      </c>
    </row>
    <row r="16" spans="1:32" ht="12.75">
      <c r="A16" s="2" t="e">
        <f>CONCATENATE("Čtyřhra ",#REF!," - semifinále")</f>
        <v>#REF!</v>
      </c>
      <c r="B16" s="2">
        <f>U14</f>
        <v>1</v>
      </c>
      <c r="C16" s="22" t="str">
        <f>IF($B16=0,"",VLOOKUP($B16,seznam!$A$2:$D$269,2))</f>
        <v>Nespěšný Hynek</v>
      </c>
      <c r="D16" s="2" t="str">
        <f>IF($B16=0,"",VLOOKUP($B16,seznam!$A$2:$D$269,4))</f>
        <v>MS Brno</v>
      </c>
      <c r="E16" s="2">
        <f>W14</f>
        <v>41</v>
      </c>
      <c r="F16" s="22" t="str">
        <f>IF($E16=0,"",VLOOKUP($E16,seznam!$A$2:$D$269,2))</f>
        <v>Sobotíková Monika</v>
      </c>
      <c r="G16" s="2" t="str">
        <f>IF($E16=0,"",VLOOKUP($E16,seznam!$A$2:$D$269,4))</f>
        <v>MS Brno</v>
      </c>
      <c r="H16" s="2">
        <f>U15</f>
        <v>13</v>
      </c>
      <c r="I16" s="23" t="str">
        <f>IF($H16=0,"",VLOOKUP($H16,seznam!$A$2:$D$269,2))</f>
        <v>Huták Ondřej</v>
      </c>
      <c r="J16" s="2" t="str">
        <f>IF($H16=0,"",VLOOKUP($H16,seznam!$A$2:$D$269,4))</f>
        <v>Klobouky u Brna</v>
      </c>
      <c r="K16" s="2">
        <f>W15</f>
        <v>49</v>
      </c>
      <c r="L16" s="23" t="str">
        <f>IF($K16=0,"",VLOOKUP($K16,seznam!$A$2:$D$269,2))</f>
        <v>Hutáková Pavla </v>
      </c>
      <c r="M16" s="2" t="str">
        <f>IF($K16=0,"",VLOOKUP($K16,seznam!$A$2:$D$269,4))</f>
        <v>Klobouky u Brna</v>
      </c>
      <c r="N16" s="90" t="s">
        <v>96</v>
      </c>
      <c r="O16" s="90" t="s">
        <v>102</v>
      </c>
      <c r="P16" s="90" t="s">
        <v>104</v>
      </c>
      <c r="Q16" s="90" t="s">
        <v>112</v>
      </c>
      <c r="R16" s="90"/>
      <c r="S16" s="2">
        <f t="shared" si="11"/>
        <v>1</v>
      </c>
      <c r="T16" s="2">
        <f t="shared" si="12"/>
        <v>3</v>
      </c>
      <c r="U16" s="2">
        <f t="shared" si="13"/>
        <v>13</v>
      </c>
      <c r="V16" s="2" t="str">
        <f>IF($U16=0,"",VLOOKUP($U16,seznam!$A$2:$D$269,2))</f>
        <v>Huták Ondřej</v>
      </c>
      <c r="W16" s="2">
        <f t="shared" si="14"/>
        <v>49</v>
      </c>
      <c r="X16" s="2" t="str">
        <f>IF($W16=0,"",VLOOKUP($W16,seznam!$A$2:$D$269,2))</f>
        <v>Hutáková Pavla </v>
      </c>
      <c r="Y16" s="2" t="str">
        <f t="shared" si="15"/>
        <v>3:1 (-6,9,6,13)</v>
      </c>
      <c r="Z16" s="2" t="str">
        <f t="shared" si="16"/>
        <v>3:1 (-6,9,6,13)</v>
      </c>
      <c r="AB16" s="25">
        <f>IF(N16="",0,IF(MID(N16,1,1)="-",-1,1))</f>
        <v>1</v>
      </c>
      <c r="AC16" s="25">
        <f>IF(O16="",0,IF(MID(O16,1,1)="-",-1,1))</f>
        <v>-1</v>
      </c>
      <c r="AD16" s="25">
        <f>IF(P16="",0,IF(MID(P16,1,1)="-",-1,1))</f>
        <v>-1</v>
      </c>
      <c r="AE16" s="25">
        <f>IF(Q16="",0,IF(MID(Q16,1,1)="-",-1,1))</f>
        <v>-1</v>
      </c>
      <c r="AF16" s="25">
        <f>IF(R16="",0,IF(MID(R16,1,1)="-",-1,1))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PageLayoutView="0" workbookViewId="0" topLeftCell="A15">
      <selection activeCell="H58" sqref="H58"/>
    </sheetView>
  </sheetViews>
  <sheetFormatPr defaultColWidth="9.125" defaultRowHeight="12.75"/>
  <cols>
    <col min="1" max="1" width="4.125" style="79" customWidth="1"/>
    <col min="2" max="3" width="4.00390625" style="79" customWidth="1"/>
    <col min="4" max="7" width="18.125" style="79" customWidth="1"/>
    <col min="8" max="8" width="9.50390625" style="79" bestFit="1" customWidth="1"/>
    <col min="9" max="16384" width="9.125" style="79" customWidth="1"/>
  </cols>
  <sheetData>
    <row r="1" spans="1:8" ht="9.75">
      <c r="A1" s="79">
        <v>1</v>
      </c>
      <c r="B1" s="80">
        <v>1</v>
      </c>
      <c r="C1" s="80">
        <v>3</v>
      </c>
      <c r="D1" s="79" t="str">
        <f>IF($B1="","",VLOOKUP($B1,seznam!$A$2:$B$269,2,"nepravda"))</f>
        <v>Nespěšný Hynek</v>
      </c>
      <c r="E1" s="79" t="str">
        <f>IF($B1="","",VLOOKUP($B1,seznam!$A$2:$D$269,4,"nepravda"))</f>
        <v>MS Brno</v>
      </c>
      <c r="F1" s="79" t="str">
        <f>IF($C1="","",VLOOKUP($C1,seznam!$A$2:$B$269,2,"nepravda"))</f>
        <v>Drápal Mětoděj</v>
      </c>
      <c r="G1" s="79" t="str">
        <f>IF($C1="","",VLOOKUP($C1,seznam!$A$2:$D$269,4,"nepravda"))</f>
        <v>MS Brno</v>
      </c>
      <c r="H1" s="79">
        <f>IF(C1="","",VLOOKUP($B1,seznam!$A$2:$E$269,5,"nepravda")+VLOOKUP($C1,seznam!$A$2:$E$269,5))</f>
        <v>14</v>
      </c>
    </row>
    <row r="2" spans="1:8" ht="9.75">
      <c r="A2" s="79">
        <v>2</v>
      </c>
      <c r="B2" s="80">
        <v>2</v>
      </c>
      <c r="C2" s="80">
        <v>4</v>
      </c>
      <c r="D2" s="79" t="str">
        <f>IF($B2="","",VLOOKUP($B2,seznam!$A$2:$B$269,2,"nepravda"))</f>
        <v>Luska Petr</v>
      </c>
      <c r="E2" s="79" t="str">
        <f>IF($B2="","",VLOOKUP($B2,seznam!$A$2:$D$269,4,"nepravda"))</f>
        <v>KST Vyškov</v>
      </c>
      <c r="F2" s="79" t="str">
        <f>IF($C2="","",VLOOKUP($C2,seznam!$A$2:$B$269,2,"nepravda"))</f>
        <v>Vincenec Oliver</v>
      </c>
      <c r="G2" s="79" t="str">
        <f>IF($C2="","",VLOOKUP($C2,seznam!$A$2:$D$269,4,"nepravda"))</f>
        <v>KST Vyškov</v>
      </c>
      <c r="H2" s="79">
        <f>IF(C2="","",VLOOKUP($B2,seznam!$A$2:$E$269,5,"nepravda")+VLOOKUP($C2,seznam!$A$2:$E$269,5))</f>
        <v>19</v>
      </c>
    </row>
    <row r="3" spans="1:8" ht="9.75">
      <c r="A3" s="79">
        <v>3</v>
      </c>
      <c r="B3" s="80">
        <v>5</v>
      </c>
      <c r="C3" s="80">
        <v>6</v>
      </c>
      <c r="D3" s="79" t="str">
        <f>IF($B3="","",VLOOKUP($B3,seznam!$A$2:$B$269,2,"nepravda"))</f>
        <v>Horníček Lukáš</v>
      </c>
      <c r="E3" s="79" t="str">
        <f>IF($B3="","",VLOOKUP($B3,seznam!$A$2:$D$269,4,"nepravda"))</f>
        <v>MS Brno</v>
      </c>
      <c r="F3" s="79" t="str">
        <f>IF($C3="","",VLOOKUP($C3,seznam!$A$2:$B$269,2,"nepravda"))</f>
        <v>Havránek Ondřej</v>
      </c>
      <c r="G3" s="79" t="str">
        <f>IF($C3="","",VLOOKUP($C3,seznam!$A$2:$D$269,4,"nepravda"))</f>
        <v>MS Brno</v>
      </c>
      <c r="H3" s="79">
        <f>IF(C3="","",VLOOKUP($B3,seznam!$A$2:$E$269,5,"nepravda")+VLOOKUP($C3,seznam!$A$2:$E$269,5))</f>
        <v>34</v>
      </c>
    </row>
    <row r="4" spans="1:8" ht="9.75">
      <c r="A4" s="79">
        <v>4</v>
      </c>
      <c r="B4" s="80">
        <v>8</v>
      </c>
      <c r="C4" s="80">
        <v>10</v>
      </c>
      <c r="D4" s="79" t="str">
        <f>IF($B4="","",VLOOKUP($B4,seznam!$A$2:$B$269,2,"nepravda"))</f>
        <v>Kurdiovský Matěj</v>
      </c>
      <c r="E4" s="79" t="str">
        <f>IF($B4="","",VLOOKUP($B4,seznam!$A$2:$D$269,4,"nepravda"))</f>
        <v>Tišnov</v>
      </c>
      <c r="F4" s="79" t="str">
        <f>IF($C4="","",VLOOKUP($C4,seznam!$A$2:$B$269,2,"nepravda"))</f>
        <v>Šimeček Robin</v>
      </c>
      <c r="G4" s="79" t="str">
        <f>IF($C4="","",VLOOKUP($C4,seznam!$A$2:$D$269,4,"nepravda"))</f>
        <v>TJ Holásky</v>
      </c>
      <c r="H4" s="79">
        <f>IF(C4="","",VLOOKUP($B4,seznam!$A$2:$E$269,5,"nepravda")+VLOOKUP($C4,seznam!$A$2:$E$269,5))</f>
        <v>43</v>
      </c>
    </row>
    <row r="5" spans="1:8" ht="9.75">
      <c r="A5" s="79">
        <v>5</v>
      </c>
      <c r="B5" s="80">
        <v>12</v>
      </c>
      <c r="C5" s="80">
        <v>13</v>
      </c>
      <c r="D5" s="79" t="str">
        <f>IF($B5="","",VLOOKUP($B5,seznam!$A$2:$B$269,2,"nepravda"))</f>
        <v>Buriánek Martin</v>
      </c>
      <c r="E5" s="79" t="str">
        <f>IF($B5="","",VLOOKUP($B5,seznam!$A$2:$D$269,4,"nepravda"))</f>
        <v>MSK Břeclav</v>
      </c>
      <c r="F5" s="79" t="str">
        <f>IF($C5="","",VLOOKUP($C5,seznam!$A$2:$B$269,2,"nepravda"))</f>
        <v>Huták Ondřej</v>
      </c>
      <c r="G5" s="79" t="str">
        <f>IF($C5="","",VLOOKUP($C5,seznam!$A$2:$D$269,4,"nepravda"))</f>
        <v>Klobouky u Brna</v>
      </c>
      <c r="H5" s="79">
        <f>IF(C5="","",VLOOKUP($B5,seznam!$A$2:$E$269,5,"nepravda")+VLOOKUP($C5,seznam!$A$2:$E$269,5))</f>
        <v>1028</v>
      </c>
    </row>
    <row r="6" spans="1:3" ht="9.75">
      <c r="A6" s="79">
        <v>6</v>
      </c>
      <c r="B6" s="80"/>
      <c r="C6" s="80"/>
    </row>
    <row r="7" spans="1:3" ht="9.75">
      <c r="A7" s="79">
        <v>7</v>
      </c>
      <c r="B7" s="80"/>
      <c r="C7" s="80"/>
    </row>
    <row r="8" spans="1:3" ht="9.75">
      <c r="A8" s="79">
        <v>8</v>
      </c>
      <c r="B8" s="80"/>
      <c r="C8" s="80"/>
    </row>
    <row r="9" spans="1:3" ht="9.75">
      <c r="A9" s="79">
        <v>9</v>
      </c>
      <c r="B9" s="80"/>
      <c r="C9" s="80"/>
    </row>
    <row r="10" spans="1:3" ht="9.75">
      <c r="A10" s="79">
        <v>10</v>
      </c>
      <c r="B10" s="80"/>
      <c r="C10" s="80"/>
    </row>
    <row r="11" spans="1:3" ht="9.75">
      <c r="A11" s="79">
        <v>11</v>
      </c>
      <c r="B11" s="80"/>
      <c r="C11" s="80"/>
    </row>
    <row r="12" spans="1:3" ht="9.75">
      <c r="A12" s="79">
        <v>12</v>
      </c>
      <c r="B12" s="80"/>
      <c r="C12" s="80"/>
    </row>
    <row r="13" spans="1:3" ht="9.75">
      <c r="A13" s="79">
        <v>13</v>
      </c>
      <c r="B13" s="80"/>
      <c r="C13" s="80"/>
    </row>
    <row r="14" spans="1:3" ht="9.75">
      <c r="A14" s="79">
        <v>14</v>
      </c>
      <c r="B14" s="80"/>
      <c r="C14" s="80"/>
    </row>
    <row r="15" spans="1:3" ht="9.75">
      <c r="A15" s="79">
        <v>15</v>
      </c>
      <c r="B15" s="80"/>
      <c r="C15" s="80"/>
    </row>
    <row r="16" spans="1:3" ht="9.75">
      <c r="A16" s="79">
        <v>16</v>
      </c>
      <c r="B16" s="80"/>
      <c r="C16" s="80"/>
    </row>
    <row r="17" spans="1:8" ht="9.75">
      <c r="A17" s="79">
        <v>17</v>
      </c>
      <c r="B17" s="80"/>
      <c r="C17" s="80"/>
      <c r="D17" s="79">
        <f>IF($B17="","",VLOOKUP($B17,seznam!$A$2:$B$269,2,"nepravda"))</f>
      </c>
      <c r="E17" s="79">
        <f>IF($B17="","",VLOOKUP($B17,seznam!$A$2:$D$269,4,"nepravda"))</f>
      </c>
      <c r="F17" s="79">
        <f>IF($C17="","",VLOOKUP($C17,seznam!$A$2:$B$269,2,"nepravda"))</f>
      </c>
      <c r="G17" s="79">
        <f>IF($C17="","",VLOOKUP($C17,seznam!$A$2:$D$269,4,"nepravda"))</f>
      </c>
      <c r="H17" s="79">
        <f>IF(C17="","",VLOOKUP($B17,seznam!$A$2:$E$269,5,"nepravda")+VLOOKUP($C17,seznam!$A$2:$E$269,5))</f>
      </c>
    </row>
    <row r="18" spans="1:8" ht="9.75">
      <c r="A18" s="79">
        <v>18</v>
      </c>
      <c r="B18" s="80"/>
      <c r="C18" s="80"/>
      <c r="D18" s="79">
        <f>IF($B18="","",VLOOKUP($B18,seznam!$A$2:$B$269,2,"nepravda"))</f>
      </c>
      <c r="E18" s="79">
        <f>IF($B18="","",VLOOKUP($B18,seznam!$A$2:$D$269,4,"nepravda"))</f>
      </c>
      <c r="F18" s="79">
        <f>IF($C18="","",VLOOKUP($C18,seznam!$A$2:$B$269,2,"nepravda"))</f>
      </c>
      <c r="G18" s="79">
        <f>IF($C18="","",VLOOKUP($C18,seznam!$A$2:$D$269,4,"nepravda"))</f>
      </c>
      <c r="H18" s="79">
        <f>IF(C18="","",VLOOKUP($B18,seznam!$A$2:$E$269,5,"nepravda")+VLOOKUP($C18,seznam!$A$2:$E$269,5))</f>
      </c>
    </row>
    <row r="19" spans="1:8" ht="9.75">
      <c r="A19" s="79">
        <v>19</v>
      </c>
      <c r="B19" s="80"/>
      <c r="C19" s="80"/>
      <c r="D19" s="79">
        <f>IF($B19="","",VLOOKUP($B19,seznam!$A$2:$B$269,2,"nepravda"))</f>
      </c>
      <c r="E19" s="79">
        <f>IF($B19="","",VLOOKUP($B19,seznam!$A$2:$D$269,4,"nepravda"))</f>
      </c>
      <c r="F19" s="79">
        <f>IF($C19="","",VLOOKUP($C19,seznam!$A$2:$B$269,2,"nepravda"))</f>
      </c>
      <c r="G19" s="79">
        <f>IF($C19="","",VLOOKUP($C19,seznam!$A$2:$D$269,4,"nepravda"))</f>
      </c>
      <c r="H19" s="79">
        <f>IF(C19="","",VLOOKUP($B19,seznam!$A$2:$E$269,5,"nepravda")+VLOOKUP($C19,seznam!$A$2:$E$269,5))</f>
      </c>
    </row>
    <row r="20" spans="1:8" ht="9.75">
      <c r="A20" s="79">
        <v>20</v>
      </c>
      <c r="B20" s="80"/>
      <c r="C20" s="80"/>
      <c r="D20" s="79">
        <f>IF($B20="","",VLOOKUP($B20,seznam!$A$2:$B$269,2,"nepravda"))</f>
      </c>
      <c r="E20" s="79">
        <f>IF($B20="","",VLOOKUP($B20,seznam!$A$2:$D$269,4,"nepravda"))</f>
      </c>
      <c r="F20" s="79">
        <f>IF($C20="","",VLOOKUP($C20,seznam!$A$2:$B$269,2,"nepravda"))</f>
      </c>
      <c r="G20" s="79">
        <f>IF($C20="","",VLOOKUP($C20,seznam!$A$2:$D$269,4,"nepravda"))</f>
      </c>
      <c r="H20" s="79">
        <f>IF(C20="","",VLOOKUP($B20,seznam!$A$2:$E$269,5,"nepravda")+VLOOKUP($C20,seznam!$A$2:$E$269,5))</f>
      </c>
    </row>
    <row r="21" spans="1:8" ht="9.75">
      <c r="A21" s="79">
        <v>21</v>
      </c>
      <c r="B21" s="80">
        <v>41</v>
      </c>
      <c r="C21" s="80">
        <v>43</v>
      </c>
      <c r="D21" s="79" t="str">
        <f>IF($B21="","",VLOOKUP($B21,seznam!$A$2:$B$269,2,"nepravda"))</f>
        <v>Sobotíková Monika</v>
      </c>
      <c r="E21" s="79" t="str">
        <f>IF($B21="","",VLOOKUP($B21,seznam!$A$2:$D$269,4,"nepravda"))</f>
        <v>MS Brno</v>
      </c>
      <c r="F21" s="79" t="str">
        <f>IF($C21="","",VLOOKUP($C21,seznam!$A$2:$B$269,2,"nepravda"))</f>
        <v>Pilitowská Lea</v>
      </c>
      <c r="G21" s="79" t="str">
        <f>IF($C21="","",VLOOKUP($C21,seznam!$A$2:$D$269,4,"nepravda"))</f>
        <v>KST Blansko</v>
      </c>
      <c r="H21" s="79">
        <f>IF(C21="","",VLOOKUP($B21,seznam!$A$2:$E$269,5,"nepravda")+VLOOKUP($C21,seznam!$A$2:$E$269,5))</f>
        <v>9</v>
      </c>
    </row>
    <row r="22" spans="1:8" ht="9.75">
      <c r="A22" s="79">
        <v>22</v>
      </c>
      <c r="B22" s="80">
        <v>42</v>
      </c>
      <c r="C22" s="80">
        <v>49</v>
      </c>
      <c r="D22" s="79" t="str">
        <f>IF($B22="","",VLOOKUP($B22,seznam!$A$2:$B$269,2,"nepravda"))</f>
        <v>Dreits Anastasiia</v>
      </c>
      <c r="E22" s="79" t="str">
        <f>IF($B22="","",VLOOKUP($B22,seznam!$A$2:$D$269,4,"nepravda"))</f>
        <v>Tišnov</v>
      </c>
      <c r="F22" s="79" t="str">
        <f>IF($C22="","",VLOOKUP($C22,seznam!$A$2:$B$269,2,"nepravda"))</f>
        <v>Hutáková Pavla </v>
      </c>
      <c r="G22" s="79" t="str">
        <f>IF($C22="","",VLOOKUP($C22,seznam!$A$2:$D$269,4,"nepravda"))</f>
        <v>Klobouky u Brna</v>
      </c>
      <c r="H22" s="79">
        <f>IF(C22="","",VLOOKUP($B22,seznam!$A$2:$E$269,5,"nepravda")+VLOOKUP($C22,seznam!$A$2:$E$269,5))</f>
        <v>1004</v>
      </c>
    </row>
    <row r="23" spans="1:8" ht="9.75">
      <c r="A23" s="79">
        <v>23</v>
      </c>
      <c r="B23" s="80">
        <v>46</v>
      </c>
      <c r="C23" s="80">
        <v>47</v>
      </c>
      <c r="D23" s="79" t="str">
        <f>IF($B23="","",VLOOKUP($B23,seznam!$A$2:$B$269,2,"nepravda"))</f>
        <v>Plíšková Kateřina</v>
      </c>
      <c r="E23" s="79" t="str">
        <f>IF($B23="","",VLOOKUP($B23,seznam!$A$2:$D$269,4,"nepravda"))</f>
        <v>MS Brno</v>
      </c>
      <c r="F23" s="79" t="str">
        <f>IF($C23="","",VLOOKUP($C23,seznam!$A$2:$B$269,2,"nepravda"))</f>
        <v>Plíšková Kristýna</v>
      </c>
      <c r="G23" s="79" t="str">
        <f>IF($C23="","",VLOOKUP($C23,seznam!$A$2:$D$269,4,"nepravda"))</f>
        <v>MS Brno</v>
      </c>
      <c r="H23" s="79">
        <f>IF(C23="","",VLOOKUP($B23,seznam!$A$2:$E$269,5,"nepravda")+VLOOKUP($C23,seznam!$A$2:$E$269,5))</f>
        <v>1998</v>
      </c>
    </row>
    <row r="24" spans="1:3" ht="9.75">
      <c r="A24" s="79">
        <v>24</v>
      </c>
      <c r="B24" s="80"/>
      <c r="C24" s="80"/>
    </row>
    <row r="25" spans="1:3" ht="9.75">
      <c r="A25" s="79">
        <v>25</v>
      </c>
      <c r="B25" s="80"/>
      <c r="C25" s="80"/>
    </row>
    <row r="26" spans="1:3" ht="9.75">
      <c r="A26" s="79">
        <v>26</v>
      </c>
      <c r="B26" s="80"/>
      <c r="C26" s="80"/>
    </row>
    <row r="27" spans="1:3" ht="9.75">
      <c r="A27" s="79">
        <v>27</v>
      </c>
      <c r="B27" s="80"/>
      <c r="C27" s="80"/>
    </row>
    <row r="28" spans="1:3" ht="9.75">
      <c r="A28" s="79">
        <v>28</v>
      </c>
      <c r="B28" s="80"/>
      <c r="C28" s="80"/>
    </row>
    <row r="29" spans="1:3" ht="9.75">
      <c r="A29" s="79">
        <v>29</v>
      </c>
      <c r="B29" s="80"/>
      <c r="C29" s="80"/>
    </row>
    <row r="30" spans="1:3" ht="9.75">
      <c r="A30" s="79">
        <v>30</v>
      </c>
      <c r="B30" s="80"/>
      <c r="C30" s="80"/>
    </row>
    <row r="31" spans="1:3" ht="9.75">
      <c r="A31" s="79">
        <v>31</v>
      </c>
      <c r="B31" s="80"/>
      <c r="C31" s="80"/>
    </row>
    <row r="32" spans="1:3" ht="9.75">
      <c r="A32" s="79">
        <v>32</v>
      </c>
      <c r="B32" s="80"/>
      <c r="C32" s="80"/>
    </row>
    <row r="33" spans="1:3" ht="9.75">
      <c r="A33" s="79">
        <v>33</v>
      </c>
      <c r="B33" s="80"/>
      <c r="C33" s="80"/>
    </row>
    <row r="34" spans="1:3" ht="9.75">
      <c r="A34" s="79">
        <v>34</v>
      </c>
      <c r="B34" s="80"/>
      <c r="C34" s="80"/>
    </row>
    <row r="35" spans="1:3" ht="9.75">
      <c r="A35" s="79">
        <v>35</v>
      </c>
      <c r="B35" s="80"/>
      <c r="C35" s="80"/>
    </row>
    <row r="36" spans="1:8" ht="9.75">
      <c r="A36" s="79">
        <v>36</v>
      </c>
      <c r="B36" s="80"/>
      <c r="C36" s="80"/>
      <c r="D36" s="79">
        <f>IF($B36="","",VLOOKUP($B36,seznam!$A$2:$B$269,2,"nepravda"))</f>
      </c>
      <c r="E36" s="79">
        <f>IF($B36="","",VLOOKUP($B36,seznam!$A$2:$D$269,4,"nepravda"))</f>
      </c>
      <c r="F36" s="79">
        <f>IF($C36="","",VLOOKUP($C36,seznam!$A$2:$B$269,2,"nepravda"))</f>
      </c>
      <c r="G36" s="79">
        <f>IF($C36="","",VLOOKUP($C36,seznam!$A$2:$D$269,4,"nepravda"))</f>
      </c>
      <c r="H36" s="79">
        <f>IF(C36="","",VLOOKUP($B36,seznam!$A$2:$E$269,5,"nepravda")+VLOOKUP($C36,seznam!$A$2:$E$269,5))</f>
      </c>
    </row>
    <row r="37" spans="1:8" ht="9.75">
      <c r="A37" s="79">
        <v>37</v>
      </c>
      <c r="B37" s="80"/>
      <c r="C37" s="80"/>
      <c r="D37" s="79">
        <f>IF($B37="","",VLOOKUP($B37,seznam!$A$2:$B$269,2,"nepravda"))</f>
      </c>
      <c r="E37" s="79">
        <f>IF($B37="","",VLOOKUP($B37,seznam!$A$2:$D$269,4,"nepravda"))</f>
      </c>
      <c r="F37" s="79">
        <f>IF($C37="","",VLOOKUP($C37,seznam!$A$2:$B$269,2,"nepravda"))</f>
      </c>
      <c r="G37" s="79">
        <f>IF($C37="","",VLOOKUP($C37,seznam!$A$2:$D$269,4,"nepravda"))</f>
      </c>
      <c r="H37" s="79">
        <f>IF(C37="","",VLOOKUP($B37,seznam!$A$2:$E$269,5,"nepravda")+VLOOKUP($C37,seznam!$A$2:$E$269,5))</f>
      </c>
    </row>
    <row r="38" spans="1:8" ht="9.75">
      <c r="A38" s="79">
        <v>38</v>
      </c>
      <c r="B38" s="80"/>
      <c r="C38" s="80"/>
      <c r="D38" s="79">
        <f>IF($B38="","",VLOOKUP($B38,seznam!$A$2:$B$269,2,"nepravda"))</f>
      </c>
      <c r="E38" s="79">
        <f>IF($B38="","",VLOOKUP($B38,seznam!$A$2:$D$269,4,"nepravda"))</f>
      </c>
      <c r="F38" s="79">
        <f>IF($C38="","",VLOOKUP($C38,seznam!$A$2:$B$269,2,"nepravda"))</f>
      </c>
      <c r="G38" s="79">
        <f>IF($C38="","",VLOOKUP($C38,seznam!$A$2:$D$269,4,"nepravda"))</f>
      </c>
      <c r="H38" s="79">
        <f>IF(C38="","",VLOOKUP($B38,seznam!$A$2:$E$269,5,"nepravda")+VLOOKUP($C38,seznam!$A$2:$E$269,5))</f>
      </c>
    </row>
    <row r="39" spans="1:8" ht="9.75">
      <c r="A39" s="79">
        <v>39</v>
      </c>
      <c r="B39" s="80"/>
      <c r="C39" s="80"/>
      <c r="D39" s="79">
        <f>IF($B39="","",VLOOKUP($B39,seznam!$A$2:$B$269,2,"nepravda"))</f>
      </c>
      <c r="E39" s="79">
        <f>IF($B39="","",VLOOKUP($B39,seznam!$A$2:$D$269,4,"nepravda"))</f>
      </c>
      <c r="F39" s="79">
        <f>IF($C39="","",VLOOKUP($C39,seznam!$A$2:$B$269,2,"nepravda"))</f>
      </c>
      <c r="G39" s="79">
        <f>IF($C39="","",VLOOKUP($C39,seznam!$A$2:$D$269,4,"nepravda"))</f>
      </c>
      <c r="H39" s="79">
        <f>IF(C39="","",VLOOKUP($B39,seznam!$A$2:$E$269,5,"nepravda")+VLOOKUP($C39,seznam!$A$2:$E$269,5))</f>
      </c>
    </row>
    <row r="40" spans="1:8" ht="9.75">
      <c r="A40" s="79">
        <v>40</v>
      </c>
      <c r="B40" s="80"/>
      <c r="C40" s="80"/>
      <c r="D40" s="79">
        <f>IF($B40="","",VLOOKUP($B40,seznam!$A$2:$B$269,2,"nepravda"))</f>
      </c>
      <c r="E40" s="79">
        <f>IF($B40="","",VLOOKUP($B40,seznam!$A$2:$D$269,4,"nepravda"))</f>
      </c>
      <c r="F40" s="79">
        <f>IF($C40="","",VLOOKUP($C40,seznam!$A$2:$B$269,2,"nepravda"))</f>
      </c>
      <c r="G40" s="79">
        <f>IF($C40="","",VLOOKUP($C40,seznam!$A$2:$D$269,4,"nepravda"))</f>
      </c>
      <c r="H40" s="79">
        <f>IF(C40="","",VLOOKUP($B40,seznam!$A$2:$E$269,5,"nepravda")+VLOOKUP($C40,seznam!$A$2:$E$269,5))</f>
      </c>
    </row>
    <row r="41" spans="1:8" ht="9.75">
      <c r="A41" s="79">
        <v>41</v>
      </c>
      <c r="B41" s="80">
        <v>1</v>
      </c>
      <c r="C41" s="80">
        <v>41</v>
      </c>
      <c r="D41" s="79" t="str">
        <f>IF($B41="","",VLOOKUP($B41,seznam!$A$2:$B$269,2,"nepravda"))</f>
        <v>Nespěšný Hynek</v>
      </c>
      <c r="E41" s="79" t="str">
        <f>IF($B41="","",VLOOKUP($B41,seznam!$A$2:$D$269,4,"nepravda"))</f>
        <v>MS Brno</v>
      </c>
      <c r="F41" s="79" t="str">
        <f>IF($C41="","",VLOOKUP($C41,seznam!$A$2:$B$269,2,"nepravda"))</f>
        <v>Sobotíková Monika</v>
      </c>
      <c r="G41" s="79" t="str">
        <f>IF($C41="","",VLOOKUP($C41,seznam!$A$2:$D$269,4,"nepravda"))</f>
        <v>MS Brno</v>
      </c>
      <c r="H41" s="79">
        <f>IF(C41="","",VLOOKUP($B41,seznam!$A$2:$E$269,5,"nepravda")+VLOOKUP($C41,seznam!$A$2:$E$269,5))</f>
        <v>6</v>
      </c>
    </row>
    <row r="42" spans="1:8" ht="9.75">
      <c r="A42" s="79">
        <v>42</v>
      </c>
      <c r="B42" s="80">
        <v>13</v>
      </c>
      <c r="C42" s="80">
        <v>49</v>
      </c>
      <c r="D42" s="79" t="str">
        <f>IF($B42="","",VLOOKUP($B42,seznam!$A$2:$B$269,2,"nepravda"))</f>
        <v>Huták Ondřej</v>
      </c>
      <c r="E42" s="79" t="str">
        <f>IF($B42="","",VLOOKUP($B42,seznam!$A$2:$D$269,4,"nepravda"))</f>
        <v>Klobouky u Brna</v>
      </c>
      <c r="F42" s="79" t="str">
        <f>IF($C42="","",VLOOKUP($C42,seznam!$A$2:$B$269,2,"nepravda"))</f>
        <v>Hutáková Pavla </v>
      </c>
      <c r="G42" s="79" t="str">
        <f>IF($C42="","",VLOOKUP($C42,seznam!$A$2:$D$269,4,"nepravda"))</f>
        <v>Klobouky u Brna</v>
      </c>
      <c r="H42" s="79">
        <f>IF(C42="","",VLOOKUP($B42,seznam!$A$2:$E$269,5,"nepravda")+VLOOKUP($C42,seznam!$A$2:$E$269,5))</f>
        <v>1998</v>
      </c>
    </row>
    <row r="43" spans="1:8" ht="9.75">
      <c r="A43" s="79">
        <v>43</v>
      </c>
      <c r="B43" s="80">
        <v>5</v>
      </c>
      <c r="C43" s="80">
        <v>46</v>
      </c>
      <c r="D43" s="79" t="str">
        <f>IF($B43="","",VLOOKUP($B43,seznam!$A$2:$B$269,2,"nepravda"))</f>
        <v>Horníček Lukáš</v>
      </c>
      <c r="E43" s="79" t="str">
        <f>IF($B43="","",VLOOKUP($B43,seznam!$A$2:$D$269,4,"nepravda"))</f>
        <v>MS Brno</v>
      </c>
      <c r="F43" s="79" t="str">
        <f>IF($C43="","",VLOOKUP($C43,seznam!$A$2:$B$269,2,"nepravda"))</f>
        <v>Plíšková Kateřina</v>
      </c>
      <c r="G43" s="79" t="str">
        <f>IF($C43="","",VLOOKUP($C43,seznam!$A$2:$D$269,4,"nepravda"))</f>
        <v>MS Brno</v>
      </c>
      <c r="H43" s="79">
        <f>IF(C43="","",VLOOKUP($B43,seznam!$A$2:$E$269,5,"nepravda")+VLOOKUP($C43,seznam!$A$2:$E$269,5))</f>
        <v>1015</v>
      </c>
    </row>
    <row r="44" spans="1:8" ht="9.75">
      <c r="A44" s="79">
        <v>44</v>
      </c>
      <c r="B44" s="80">
        <v>6</v>
      </c>
      <c r="C44" s="80">
        <v>47</v>
      </c>
      <c r="D44" s="79" t="str">
        <f>IF($B44="","",VLOOKUP($B44,seznam!$A$2:$B$269,2,"nepravda"))</f>
        <v>Havránek Ondřej</v>
      </c>
      <c r="E44" s="79" t="str">
        <f>IF($B44="","",VLOOKUP($B44,seznam!$A$2:$D$269,4,"nepravda"))</f>
        <v>MS Brno</v>
      </c>
      <c r="F44" s="79" t="str">
        <f>IF($C44="","",VLOOKUP($C44,seznam!$A$2:$B$269,2,"nepravda"))</f>
        <v>Plíšková Kristýna</v>
      </c>
      <c r="G44" s="79" t="str">
        <f>IF($C44="","",VLOOKUP($C44,seznam!$A$2:$D$269,4,"nepravda"))</f>
        <v>MS Brno</v>
      </c>
      <c r="H44" s="79">
        <f>IF(C44="","",VLOOKUP($B44,seznam!$A$2:$E$269,5,"nepravda")+VLOOKUP($C44,seznam!$A$2:$E$269,5))</f>
        <v>1017</v>
      </c>
    </row>
    <row r="45" spans="1:8" ht="9.75">
      <c r="A45" s="79">
        <v>45</v>
      </c>
      <c r="B45" s="80">
        <v>7</v>
      </c>
      <c r="C45" s="80">
        <v>43</v>
      </c>
      <c r="D45" s="79" t="str">
        <f>IF($B45="","",VLOOKUP($B45,seznam!$A$2:$B$269,2,"nepravda"))</f>
        <v>Chalupa David</v>
      </c>
      <c r="E45" s="79" t="str">
        <f>IF($B45="","",VLOOKUP($B45,seznam!$A$2:$D$269,4,"nepravda"))</f>
        <v>KST Blansko</v>
      </c>
      <c r="F45" s="79" t="str">
        <f>IF($C45="","",VLOOKUP($C45,seznam!$A$2:$B$269,2,"nepravda"))</f>
        <v>Pilitowská Lea</v>
      </c>
      <c r="G45" s="79" t="str">
        <f>IF($C45="","",VLOOKUP($C45,seznam!$A$2:$D$269,4,"nepravda"))</f>
        <v>KST Blansko</v>
      </c>
      <c r="H45" s="79">
        <f>IF(C45="","",VLOOKUP($B45,seznam!$A$2:$E$269,5,"nepravda")+VLOOKUP($C45,seznam!$A$2:$E$269,5))</f>
        <v>27</v>
      </c>
    </row>
    <row r="46" spans="1:8" ht="9.75">
      <c r="A46" s="79">
        <v>46</v>
      </c>
      <c r="B46" s="80">
        <v>8</v>
      </c>
      <c r="C46" s="80">
        <v>42</v>
      </c>
      <c r="D46" s="79" t="str">
        <f>IF($B46="","",VLOOKUP($B46,seznam!$A$2:$B$269,2,"nepravda"))</f>
        <v>Kurdiovský Matěj</v>
      </c>
      <c r="E46" s="79" t="str">
        <f>IF($B46="","",VLOOKUP($B46,seznam!$A$2:$D$269,4,"nepravda"))</f>
        <v>Tišnov</v>
      </c>
      <c r="F46" s="79" t="str">
        <f>IF($C46="","",VLOOKUP($C46,seznam!$A$2:$B$269,2,"nepravda"))</f>
        <v>Dreits Anastasiia</v>
      </c>
      <c r="G46" s="79" t="str">
        <f>IF($C46="","",VLOOKUP($C46,seznam!$A$2:$D$269,4,"nepravda"))</f>
        <v>Tišnov</v>
      </c>
      <c r="H46" s="79">
        <f>IF(C46="","",VLOOKUP($B46,seznam!$A$2:$E$269,5,"nepravda")+VLOOKUP($C46,seznam!$A$2:$E$269,5))</f>
        <v>26</v>
      </c>
    </row>
    <row r="47" spans="1:3" ht="9.75">
      <c r="A47" s="79">
        <v>47</v>
      </c>
      <c r="B47" s="80"/>
      <c r="C47" s="80"/>
    </row>
    <row r="48" spans="1:3" ht="9.75">
      <c r="A48" s="79">
        <v>48</v>
      </c>
      <c r="B48" s="80"/>
      <c r="C48" s="80"/>
    </row>
    <row r="49" spans="1:8" ht="9.75">
      <c r="A49" s="79">
        <v>49</v>
      </c>
      <c r="B49" s="80"/>
      <c r="C49" s="80"/>
      <c r="D49" s="79">
        <f>IF($B49="","",VLOOKUP($B49,seznam!$A$2:$B$269,2,"nepravda"))</f>
      </c>
      <c r="E49" s="79">
        <f>IF($B49="","",VLOOKUP($B49,seznam!$A$2:$D$269,4,"nepravda"))</f>
      </c>
      <c r="F49" s="79">
        <f>IF($C49="","",VLOOKUP($C49,seznam!$A$2:$B$269,2,"nepravda"))</f>
      </c>
      <c r="G49" s="79">
        <f>IF($C49="","",VLOOKUP($C49,seznam!$A$2:$D$269,4,"nepravda"))</f>
      </c>
      <c r="H49" s="79">
        <f>IF(C49="","",VLOOKUP($B49,seznam!$A$2:$E$269,5,"nepravda")+VLOOKUP($C49,seznam!$A$2:$E$269,5))</f>
      </c>
    </row>
    <row r="50" spans="1:8" ht="9.75">
      <c r="A50" s="79">
        <v>50</v>
      </c>
      <c r="B50" s="80"/>
      <c r="C50" s="80"/>
      <c r="D50" s="79">
        <f>IF($B50="","",VLOOKUP($B50,seznam!$A$2:$B$269,2,"nepravda"))</f>
      </c>
      <c r="E50" s="79">
        <f>IF($B50="","",VLOOKUP($B50,seznam!$A$2:$D$269,4,"nepravda"))</f>
      </c>
      <c r="F50" s="79">
        <f>IF($C50="","",VLOOKUP($C50,seznam!$A$2:$B$269,2,"nepravda"))</f>
      </c>
      <c r="G50" s="79">
        <f>IF($C50="","",VLOOKUP($C50,seznam!$A$2:$D$269,4,"nepravda"))</f>
      </c>
      <c r="H50" s="79">
        <f>IF(C50="","",VLOOKUP($B50,seznam!$A$2:$E$269,5,"nepravda")+VLOOKUP($C50,seznam!$A$2:$E$269,5))</f>
      </c>
    </row>
    <row r="51" spans="1:8" ht="9.75">
      <c r="A51" s="79">
        <v>51</v>
      </c>
      <c r="B51" s="80"/>
      <c r="C51" s="80"/>
      <c r="D51" s="79">
        <f>IF($B51="","",VLOOKUP($B51,seznam!$A$2:$B$269,2,"nepravda"))</f>
      </c>
      <c r="E51" s="79">
        <f>IF($B51="","",VLOOKUP($B51,seznam!$A$2:$D$269,4,"nepravda"))</f>
      </c>
      <c r="F51" s="79">
        <f>IF($C51="","",VLOOKUP($C51,seznam!$A$2:$B$269,2,"nepravda"))</f>
      </c>
      <c r="G51" s="79">
        <f>IF($C51="","",VLOOKUP($C51,seznam!$A$2:$D$269,4,"nepravda"))</f>
      </c>
      <c r="H51" s="79">
        <f>IF(C51="","",VLOOKUP($B51,seznam!$A$2:$E$269,5,"nepravda")+VLOOKUP($C51,seznam!$A$2:$E$269,5))</f>
      </c>
    </row>
    <row r="52" spans="1:8" ht="9.75">
      <c r="A52" s="79">
        <v>52</v>
      </c>
      <c r="B52" s="80"/>
      <c r="C52" s="80"/>
      <c r="D52" s="79">
        <f>IF($B52="","",VLOOKUP($B52,seznam!$A$2:$B$269,2,"nepravda"))</f>
      </c>
      <c r="E52" s="79">
        <f>IF($B52="","",VLOOKUP($B52,seznam!$A$2:$D$269,4,"nepravda"))</f>
      </c>
      <c r="F52" s="79">
        <f>IF($C52="","",VLOOKUP($C52,seznam!$A$2:$B$269,2,"nepravda"))</f>
      </c>
      <c r="G52" s="79">
        <f>IF($C52="","",VLOOKUP($C52,seznam!$A$2:$D$269,4,"nepravda"))</f>
      </c>
      <c r="H52" s="79">
        <f>IF(C52="","",VLOOKUP($B52,seznam!$A$2:$E$269,5,"nepravda")+VLOOKUP($C52,seznam!$A$2:$E$269,5))</f>
      </c>
    </row>
    <row r="53" spans="1:8" ht="9.75">
      <c r="A53" s="79">
        <v>53</v>
      </c>
      <c r="B53" s="80"/>
      <c r="C53" s="80"/>
      <c r="D53" s="79">
        <f>IF($B53="","",VLOOKUP($B53,seznam!$A$2:$B$269,2,"nepravda"))</f>
      </c>
      <c r="E53" s="79">
        <f>IF($B53="","",VLOOKUP($B53,seznam!$A$2:$D$269,4,"nepravda"))</f>
      </c>
      <c r="F53" s="79">
        <f>IF($C53="","",VLOOKUP($C53,seznam!$A$2:$B$269,2,"nepravda"))</f>
      </c>
      <c r="G53" s="79">
        <f>IF($C53="","",VLOOKUP($C53,seznam!$A$2:$D$269,4,"nepravda"))</f>
      </c>
      <c r="H53" s="79">
        <f>IF(C53="","",VLOOKUP($B53,seznam!$A$2:$E$269,5,"nepravda")+VLOOKUP($C53,seznam!$A$2:$E$269,5))</f>
      </c>
    </row>
    <row r="54" spans="1:8" ht="9.75">
      <c r="A54" s="79">
        <v>54</v>
      </c>
      <c r="B54" s="80"/>
      <c r="C54" s="80"/>
      <c r="D54" s="79">
        <f>IF($B54="","",VLOOKUP($B54,seznam!$A$2:$B$269,2,"nepravda"))</f>
      </c>
      <c r="E54" s="79">
        <f>IF($B54="","",VLOOKUP($B54,seznam!$A$2:$D$269,4,"nepravda"))</f>
      </c>
      <c r="F54" s="79">
        <f>IF($C54="","",VLOOKUP($C54,seznam!$A$2:$B$269,2,"nepravda"))</f>
      </c>
      <c r="G54" s="79">
        <f>IF($C54="","",VLOOKUP($C54,seznam!$A$2:$D$269,4,"nepravda"))</f>
      </c>
      <c r="H54" s="79">
        <f>IF(C54="","",VLOOKUP($B54,seznam!$A$2:$E$269,5,"nepravda")+VLOOKUP($C54,seznam!$A$2:$E$269,5))</f>
      </c>
    </row>
    <row r="55" spans="1:8" ht="9.75">
      <c r="A55" s="79">
        <v>55</v>
      </c>
      <c r="B55" s="80"/>
      <c r="C55" s="80"/>
      <c r="D55" s="79">
        <f>IF($B55="","",VLOOKUP($B55,seznam!$A$2:$B$269,2,"nepravda"))</f>
      </c>
      <c r="E55" s="79">
        <f>IF($B55="","",VLOOKUP($B55,seznam!$A$2:$D$269,4,"nepravda"))</f>
      </c>
      <c r="F55" s="79">
        <f>IF($C55="","",VLOOKUP($C55,seznam!$A$2:$B$269,2,"nepravda"))</f>
      </c>
      <c r="G55" s="79">
        <f>IF($C55="","",VLOOKUP($C55,seznam!$A$2:$D$269,4,"nepravda"))</f>
      </c>
      <c r="H55" s="79">
        <f>IF(C55="","",VLOOKUP($B55,seznam!$A$2:$E$269,5,"nepravda")+VLOOKUP($C55,seznam!$A$2:$E$269,5))</f>
      </c>
    </row>
    <row r="56" spans="1:8" ht="9.75">
      <c r="A56" s="79">
        <v>56</v>
      </c>
      <c r="B56" s="80"/>
      <c r="C56" s="80"/>
      <c r="D56" s="79">
        <f>IF($B56="","",VLOOKUP($B56,seznam!$A$2:$B$269,2,"nepravda"))</f>
      </c>
      <c r="E56" s="79">
        <f>IF($B56="","",VLOOKUP($B56,seznam!$A$2:$D$269,4,"nepravda"))</f>
      </c>
      <c r="F56" s="79">
        <f>IF($C56="","",VLOOKUP($C56,seznam!$A$2:$B$269,2,"nepravda"))</f>
      </c>
      <c r="G56" s="79">
        <f>IF($C56="","",VLOOKUP($C56,seznam!$A$2:$D$269,4,"nepravda"))</f>
      </c>
      <c r="H56" s="79">
        <f>IF(C56="","",VLOOKUP($B56,seznam!$A$2:$E$269,5,"nepravda")+VLOOKUP($C56,seznam!$A$2:$E$269,5))</f>
      </c>
    </row>
    <row r="57" spans="1:8" ht="9.75">
      <c r="A57" s="79">
        <v>57</v>
      </c>
      <c r="B57" s="80"/>
      <c r="C57" s="80"/>
      <c r="D57" s="79">
        <f>IF($B57="","",VLOOKUP($B57,seznam!$A$2:$B$269,2,"nepravda"))</f>
      </c>
      <c r="E57" s="79">
        <f>IF($B57="","",VLOOKUP($B57,seznam!$A$2:$D$269,4,"nepravda"))</f>
      </c>
      <c r="F57" s="79">
        <f>IF($C57="","",VLOOKUP($C57,seznam!$A$2:$B$269,2,"nepravda"))</f>
      </c>
      <c r="G57" s="79">
        <f>IF($C57="","",VLOOKUP($C57,seznam!$A$2:$D$269,4,"nepravda"))</f>
      </c>
      <c r="H57" s="79">
        <f>IF(C57="","",VLOOKUP($B57,seznam!$A$2:$E$269,5,"nepravda")+VLOOKUP($C57,seznam!$A$2:$E$269,5))</f>
      </c>
    </row>
    <row r="58" spans="1:8" ht="9.75">
      <c r="A58" s="79">
        <v>58</v>
      </c>
      <c r="B58" s="80"/>
      <c r="C58" s="80"/>
      <c r="D58" s="79">
        <f>IF($B58="","",VLOOKUP($B58,seznam!$A$2:$B$269,2,"nepravda"))</f>
      </c>
      <c r="E58" s="79">
        <f>IF($B58="","",VLOOKUP($B58,seznam!$A$2:$D$269,4,"nepravda"))</f>
      </c>
      <c r="F58" s="79">
        <f>IF($C58="","",VLOOKUP($C58,seznam!$A$2:$B$269,2,"nepravda"))</f>
      </c>
      <c r="G58" s="79">
        <f>IF($C58="","",VLOOKUP($C58,seznam!$A$2:$D$269,4,"nepravda"))</f>
      </c>
      <c r="H58" s="79">
        <f>IF(C58="","",VLOOKUP($B58,seznam!$A$2:$E$269,5,"nepravda")+VLOOKUP($C58,seznam!$A$2:$E$269,5))</f>
      </c>
    </row>
    <row r="59" spans="1:8" ht="9.75">
      <c r="A59" s="79">
        <v>59</v>
      </c>
      <c r="B59" s="80"/>
      <c r="C59" s="80"/>
      <c r="D59" s="79">
        <f>IF($B59="","",VLOOKUP($B59,seznam!$A$2:$B$269,2,"nepravda"))</f>
      </c>
      <c r="E59" s="79">
        <f>IF($B59="","",VLOOKUP($B59,seznam!$A$2:$D$269,4,"nepravda"))</f>
      </c>
      <c r="F59" s="79">
        <f>IF($C59="","",VLOOKUP($C59,seznam!$A$2:$B$269,2,"nepravda"))</f>
      </c>
      <c r="G59" s="79">
        <f>IF($C59="","",VLOOKUP($C59,seznam!$A$2:$D$269,4,"nepravda"))</f>
      </c>
      <c r="H59" s="79">
        <f>IF(C59="","",VLOOKUP($B59,seznam!$A$2:$E$269,5,"nepravda")+VLOOKUP($C59,seznam!$A$2:$E$269,5))</f>
      </c>
    </row>
    <row r="60" spans="1:8" ht="9.75">
      <c r="A60" s="79">
        <v>60</v>
      </c>
      <c r="B60" s="80"/>
      <c r="C60" s="80"/>
      <c r="D60" s="79">
        <f>IF($B60="","",VLOOKUP($B60,seznam!$A$2:$B$269,2,"nepravda"))</f>
      </c>
      <c r="E60" s="79">
        <f>IF($B60="","",VLOOKUP($B60,seznam!$A$2:$D$269,4,"nepravda"))</f>
      </c>
      <c r="F60" s="79">
        <f>IF($C60="","",VLOOKUP($C60,seznam!$A$2:$B$269,2,"nepravda"))</f>
      </c>
      <c r="G60" s="79">
        <f>IF($C60="","",VLOOKUP($C60,seznam!$A$2:$D$269,4,"nepravda"))</f>
      </c>
      <c r="H60" s="79">
        <f>IF(C60="","",VLOOKUP($B60,seznam!$A$2:$E$269,5,"nepravda")+VLOOKUP($C60,seznam!$A$2:$E$269,5))</f>
      </c>
    </row>
    <row r="61" spans="1:8" ht="9.75">
      <c r="A61" s="79">
        <v>61</v>
      </c>
      <c r="B61" s="80"/>
      <c r="C61" s="80"/>
      <c r="D61" s="79">
        <f>IF($B61="","",VLOOKUP($B61,seznam!$A$2:$B$269,2,"nepravda"))</f>
      </c>
      <c r="E61" s="79">
        <f>IF($B61="","",VLOOKUP($B61,seznam!$A$2:$D$269,4,"nepravda"))</f>
      </c>
      <c r="F61" s="79">
        <f>IF($C61="","",VLOOKUP($C61,seznam!$A$2:$B$269,2,"nepravda"))</f>
      </c>
      <c r="G61" s="79">
        <f>IF($C61="","",VLOOKUP($C61,seznam!$A$2:$D$269,4,"nepravda"))</f>
      </c>
      <c r="H61" s="79">
        <f>IF(C61="","",VLOOKUP($B61,seznam!$A$2:$E$269,5,"nepravda")+VLOOKUP($C61,seznam!$A$2:$E$269,5))</f>
      </c>
    </row>
    <row r="62" spans="1:8" ht="9.75">
      <c r="A62" s="79">
        <v>62</v>
      </c>
      <c r="B62" s="80"/>
      <c r="C62" s="80"/>
      <c r="D62" s="79">
        <f>IF($B62="","",VLOOKUP($B62,seznam!$A$2:$B$269,2,"nepravda"))</f>
      </c>
      <c r="E62" s="79">
        <f>IF($B62="","",VLOOKUP($B62,seznam!$A$2:$D$269,4,"nepravda"))</f>
      </c>
      <c r="F62" s="79">
        <f>IF($C62="","",VLOOKUP($C62,seznam!$A$2:$B$269,2,"nepravda"))</f>
      </c>
      <c r="G62" s="79">
        <f>IF($C62="","",VLOOKUP($C62,seznam!$A$2:$D$269,4,"nepravda"))</f>
      </c>
      <c r="H62" s="79">
        <f>IF(C62="","",VLOOKUP($B62,seznam!$A$2:$E$269,5,"nepravda")+VLOOKUP($C62,seznam!$A$2:$E$269,5))</f>
      </c>
    </row>
    <row r="63" spans="1:8" ht="9.75">
      <c r="A63" s="79">
        <v>63</v>
      </c>
      <c r="B63" s="80"/>
      <c r="C63" s="80"/>
      <c r="D63" s="79">
        <f>IF($B63="","",VLOOKUP($B63,seznam!$A$2:$B$269,2,"nepravda"))</f>
      </c>
      <c r="E63" s="79">
        <f>IF($B63="","",VLOOKUP($B63,seznam!$A$2:$D$269,4,"nepravda"))</f>
      </c>
      <c r="F63" s="79">
        <f>IF($C63="","",VLOOKUP($C63,seznam!$A$2:$B$269,2,"nepravda"))</f>
      </c>
      <c r="G63" s="79">
        <f>IF($C63="","",VLOOKUP($C63,seznam!$A$2:$D$269,4,"nepravda"))</f>
      </c>
      <c r="H63" s="79">
        <f>IF(C63="","",VLOOKUP($B63,seznam!$A$2:$E$269,5,"nepravda")+VLOOKUP($C63,seznam!$A$2:$E$269,5))</f>
      </c>
    </row>
    <row r="64" spans="1:8" ht="9.75">
      <c r="A64" s="79">
        <v>64</v>
      </c>
      <c r="B64" s="80"/>
      <c r="C64" s="80"/>
      <c r="D64" s="79">
        <f>IF($B64="","",VLOOKUP($B64,seznam!$A$2:$B$269,2,"nepravda"))</f>
      </c>
      <c r="E64" s="79">
        <f>IF($B64="","",VLOOKUP($B64,seznam!$A$2:$D$269,4,"nepravda"))</f>
      </c>
      <c r="F64" s="79">
        <f>IF($C64="","",VLOOKUP($C64,seznam!$A$2:$B$269,2,"nepravda"))</f>
      </c>
      <c r="G64" s="79">
        <f>IF($C64="","",VLOOKUP($C64,seznam!$A$2:$D$269,4,"nepravda"))</f>
      </c>
      <c r="H64" s="79">
        <f>IF(C64="","",VLOOKUP($B64,seznam!$A$2:$E$269,5,"nepravda")+VLOOKUP($C64,seznam!$A$2:$E$269,5))</f>
      </c>
    </row>
    <row r="65" spans="1:8" ht="9.75">
      <c r="A65" s="79">
        <v>65</v>
      </c>
      <c r="B65" s="80"/>
      <c r="C65" s="80"/>
      <c r="D65" s="79">
        <f>IF($B65="","",VLOOKUP($B65,seznam!$A$2:$B$269,2,"nepravda"))</f>
      </c>
      <c r="E65" s="79">
        <f>IF($B65="","",VLOOKUP($B65,seznam!$A$2:$D$269,4,"nepravda"))</f>
      </c>
      <c r="F65" s="79">
        <f>IF($C65="","",VLOOKUP($C65,seznam!$A$2:$B$269,2,"nepravda"))</f>
      </c>
      <c r="G65" s="79">
        <f>IF($C65="","",VLOOKUP($C65,seznam!$A$2:$D$269,4,"nepravda"))</f>
      </c>
      <c r="H65" s="79">
        <f>IF(C65="","",VLOOKUP($B65,seznam!$A$2:$E$269,5,"nepravda")+VLOOKUP($C65,seznam!$A$2:$E$269,5))</f>
      </c>
    </row>
    <row r="66" spans="1:8" ht="9.75">
      <c r="A66" s="79">
        <v>66</v>
      </c>
      <c r="B66" s="80"/>
      <c r="C66" s="80"/>
      <c r="D66" s="79">
        <f>IF($B66="","",VLOOKUP($B66,seznam!$A$2:$B$269,2,"nepravda"))</f>
      </c>
      <c r="E66" s="79">
        <f>IF($B66="","",VLOOKUP($B66,seznam!$A$2:$D$269,4,"nepravda"))</f>
      </c>
      <c r="F66" s="79">
        <f>IF($C66="","",VLOOKUP($C66,seznam!$A$2:$B$269,2,"nepravda"))</f>
      </c>
      <c r="G66" s="79">
        <f>IF($C66="","",VLOOKUP($C66,seznam!$A$2:$D$269,4,"nepravda"))</f>
      </c>
      <c r="H66" s="79">
        <f>IF(C66="","",VLOOKUP($B66,seznam!$A$2:$E$269,5,"nepravda")+VLOOKUP($C66,seznam!$A$2:$E$269,5))</f>
      </c>
    </row>
    <row r="67" spans="1:8" ht="9.75">
      <c r="A67" s="79">
        <v>67</v>
      </c>
      <c r="B67" s="80"/>
      <c r="C67" s="80"/>
      <c r="D67" s="79">
        <f>IF($B67="","",VLOOKUP($B67,seznam!$A$2:$B$269,2,"nepravda"))</f>
      </c>
      <c r="E67" s="79">
        <f>IF($B67="","",VLOOKUP($B67,seznam!$A$2:$D$269,4,"nepravda"))</f>
      </c>
      <c r="F67" s="79">
        <f>IF($C67="","",VLOOKUP($C67,seznam!$A$2:$B$269,2,"nepravda"))</f>
      </c>
      <c r="G67" s="79">
        <f>IF($C67="","",VLOOKUP($C67,seznam!$A$2:$D$269,4,"nepravda"))</f>
      </c>
      <c r="H67" s="79">
        <f>IF(C67="","",VLOOKUP($B67,seznam!$A$2:$E$269,5,"nepravda")+VLOOKUP($C67,seznam!$A$2:$E$269,5))</f>
      </c>
    </row>
    <row r="68" spans="1:8" ht="9.75">
      <c r="A68" s="79">
        <v>68</v>
      </c>
      <c r="B68" s="80"/>
      <c r="C68" s="80"/>
      <c r="D68" s="79">
        <f>IF($B68="","",VLOOKUP($B68,seznam!$A$2:$B$269,2,"nepravda"))</f>
      </c>
      <c r="E68" s="79">
        <f>IF($B68="","",VLOOKUP($B68,seznam!$A$2:$D$269,4,"nepravda"))</f>
      </c>
      <c r="F68" s="79">
        <f>IF($C68="","",VLOOKUP($C68,seznam!$A$2:$B$269,2,"nepravda"))</f>
      </c>
      <c r="G68" s="79">
        <f>IF($C68="","",VLOOKUP($C68,seznam!$A$2:$D$269,4,"nepravda"))</f>
      </c>
      <c r="H68" s="79">
        <f>IF(C68="","",VLOOKUP($B68,seznam!$A$2:$E$269,5,"nepravda")+VLOOKUP($C68,seznam!$A$2:$E$269,5))</f>
      </c>
    </row>
    <row r="69" spans="1:8" ht="9.75">
      <c r="A69" s="79">
        <v>69</v>
      </c>
      <c r="B69" s="80"/>
      <c r="C69" s="80"/>
      <c r="D69" s="79">
        <f>IF($B69="","",VLOOKUP($B69,seznam!$A$2:$B$269,2,"nepravda"))</f>
      </c>
      <c r="E69" s="79">
        <f>IF($B69="","",VLOOKUP($B69,seznam!$A$2:$D$269,4,"nepravda"))</f>
      </c>
      <c r="F69" s="79">
        <f>IF($C69="","",VLOOKUP($C69,seznam!$A$2:$B$269,2,"nepravda"))</f>
      </c>
      <c r="G69" s="79">
        <f>IF($C69="","",VLOOKUP($C69,seznam!$A$2:$D$269,4,"nepravda"))</f>
      </c>
      <c r="H69" s="79">
        <f>IF(C69="","",VLOOKUP($B69,seznam!$A$2:$E$269,5,"nepravda")+VLOOKUP($C69,seznam!$A$2:$E$269,5))</f>
      </c>
    </row>
    <row r="70" spans="1:8" ht="9.75">
      <c r="A70" s="79">
        <v>70</v>
      </c>
      <c r="B70" s="80"/>
      <c r="C70" s="80"/>
      <c r="D70" s="79">
        <f>IF($B70="","",VLOOKUP($B70,seznam!$A$2:$B$269,2,"nepravda"))</f>
      </c>
      <c r="E70" s="79">
        <f>IF($B70="","",VLOOKUP($B70,seznam!$A$2:$D$269,4,"nepravda"))</f>
      </c>
      <c r="F70" s="79">
        <f>IF($C70="","",VLOOKUP($C70,seznam!$A$2:$B$269,2,"nepravda"))</f>
      </c>
      <c r="G70" s="79">
        <f>IF($C70="","",VLOOKUP($C70,seznam!$A$2:$D$269,4,"nepravda"))</f>
      </c>
      <c r="H70" s="79">
        <f>IF(C70="","",VLOOKUP($B70,seznam!$A$2:$E$269,5,"nepravda")+VLOOKUP($C70,seznam!$A$2:$E$269,5))</f>
      </c>
    </row>
    <row r="71" spans="1:8" ht="9.75">
      <c r="A71" s="79">
        <v>71</v>
      </c>
      <c r="B71" s="80"/>
      <c r="C71" s="80"/>
      <c r="D71" s="79">
        <f>IF($B71="","",VLOOKUP($B71,seznam!$A$2:$B$269,2,"nepravda"))</f>
      </c>
      <c r="E71" s="79">
        <f>IF($B71="","",VLOOKUP($B71,seznam!$A$2:$D$269,4,"nepravda"))</f>
      </c>
      <c r="F71" s="79">
        <f>IF($C71="","",VLOOKUP($C71,seznam!$A$2:$B$269,2,"nepravda"))</f>
      </c>
      <c r="G71" s="79">
        <f>IF($C71="","",VLOOKUP($C71,seznam!$A$2:$D$269,4,"nepravda"))</f>
      </c>
      <c r="H71" s="79">
        <f>IF(C71="","",VLOOKUP($B71,seznam!$A$2:$E$269,5,"nepravda")+VLOOKUP($C71,seznam!$A$2:$E$269,5))</f>
      </c>
    </row>
    <row r="72" spans="1:8" ht="9.75">
      <c r="A72" s="79">
        <v>72</v>
      </c>
      <c r="B72" s="80"/>
      <c r="C72" s="80"/>
      <c r="D72" s="79">
        <f>IF($B72="","",VLOOKUP($B72,seznam!$A$2:$B$269,2,"nepravda"))</f>
      </c>
      <c r="E72" s="79">
        <f>IF($B72="","",VLOOKUP($B72,seznam!$A$2:$D$269,4,"nepravda"))</f>
      </c>
      <c r="F72" s="79">
        <f>IF($C72="","",VLOOKUP($C72,seznam!$A$2:$B$269,2,"nepravda"))</f>
      </c>
      <c r="G72" s="79">
        <f>IF($C72="","",VLOOKUP($C72,seznam!$A$2:$D$269,4,"nepravda"))</f>
      </c>
      <c r="H72" s="79">
        <f>IF(C72="","",VLOOKUP($B72,seznam!$A$2:$E$269,5,"nepravda")+VLOOKUP($C72,seznam!$A$2:$E$269,5))</f>
      </c>
    </row>
    <row r="73" spans="1:8" ht="9.75">
      <c r="A73" s="79">
        <v>73</v>
      </c>
      <c r="B73" s="80"/>
      <c r="C73" s="80"/>
      <c r="D73" s="79">
        <f>IF($B73="","",VLOOKUP($B73,seznam!$A$2:$B$269,2,"nepravda"))</f>
      </c>
      <c r="E73" s="79">
        <f>IF($B73="","",VLOOKUP($B73,seznam!$A$2:$D$269,4,"nepravda"))</f>
      </c>
      <c r="F73" s="79">
        <f>IF($C73="","",VLOOKUP($C73,seznam!$A$2:$B$269,2,"nepravda"))</f>
      </c>
      <c r="G73" s="79">
        <f>IF($C73="","",VLOOKUP($C73,seznam!$A$2:$D$269,4,"nepravda"))</f>
      </c>
      <c r="H73" s="79">
        <f>IF(C73="","",VLOOKUP($B73,seznam!$A$2:$E$269,5,"nepravda")+VLOOKUP($C73,seznam!$A$2:$E$269,5))</f>
      </c>
    </row>
    <row r="74" spans="1:8" ht="9.75">
      <c r="A74" s="79">
        <v>74</v>
      </c>
      <c r="B74" s="80"/>
      <c r="C74" s="80"/>
      <c r="D74" s="79">
        <f>IF($B74="","",VLOOKUP($B74,seznam!$A$2:$B$269,2,"nepravda"))</f>
      </c>
      <c r="E74" s="79">
        <f>IF($B74="","",VLOOKUP($B74,seznam!$A$2:$D$269,4,"nepravda"))</f>
      </c>
      <c r="F74" s="79">
        <f>IF($C74="","",VLOOKUP($C74,seznam!$A$2:$B$269,2,"nepravda"))</f>
      </c>
      <c r="G74" s="79">
        <f>IF($C74="","",VLOOKUP($C74,seznam!$A$2:$D$269,4,"nepravda"))</f>
      </c>
      <c r="H74" s="79">
        <f>IF(C74="","",VLOOKUP($B74,seznam!$A$2:$E$269,5,"nepravda")+VLOOKUP($C74,seznam!$A$2:$E$269,5))</f>
      </c>
    </row>
    <row r="75" spans="1:8" ht="9.75">
      <c r="A75" s="79">
        <v>75</v>
      </c>
      <c r="B75" s="80"/>
      <c r="C75" s="80"/>
      <c r="D75" s="79">
        <f>IF($B75="","",VLOOKUP($B75,seznam!$A$2:$B$269,2,"nepravda"))</f>
      </c>
      <c r="E75" s="79">
        <f>IF($B75="","",VLOOKUP($B75,seznam!$A$2:$D$269,4,"nepravda"))</f>
      </c>
      <c r="F75" s="79">
        <f>IF($C75="","",VLOOKUP($C75,seznam!$A$2:$B$269,2,"nepravda"))</f>
      </c>
      <c r="G75" s="79">
        <f>IF($C75="","",VLOOKUP($C75,seznam!$A$2:$D$269,4,"nepravda"))</f>
      </c>
      <c r="H75" s="79">
        <f>IF(C75="","",VLOOKUP($B75,seznam!$A$2:$E$269,5,"nepravda")+VLOOKUP($C75,seznam!$A$2:$E$269,5))</f>
      </c>
    </row>
    <row r="76" spans="1:8" ht="9.75">
      <c r="A76" s="79">
        <v>76</v>
      </c>
      <c r="B76" s="80"/>
      <c r="C76" s="80"/>
      <c r="D76" s="79">
        <f>IF($B76="","",VLOOKUP($B76,seznam!$A$2:$B$269,2,"nepravda"))</f>
      </c>
      <c r="E76" s="79">
        <f>IF($B76="","",VLOOKUP($B76,seznam!$A$2:$D$269,4,"nepravda"))</f>
      </c>
      <c r="F76" s="79">
        <f>IF($C76="","",VLOOKUP($C76,seznam!$A$2:$B$269,2,"nepravda"))</f>
      </c>
      <c r="G76" s="79">
        <f>IF($C76="","",VLOOKUP($C76,seznam!$A$2:$D$269,4,"nepravda"))</f>
      </c>
      <c r="H76" s="79">
        <f>IF(C76="","",VLOOKUP($B76,seznam!$A$2:$E$269,5,"nepravda")+VLOOKUP($C76,seznam!$A$2:$E$269,5))</f>
      </c>
    </row>
    <row r="77" spans="1:8" ht="9.75">
      <c r="A77" s="79">
        <v>77</v>
      </c>
      <c r="B77" s="80"/>
      <c r="C77" s="80"/>
      <c r="D77" s="79">
        <f>IF($B77="","",VLOOKUP($B77,seznam!$A$2:$B$269,2,"nepravda"))</f>
      </c>
      <c r="E77" s="79">
        <f>IF($B77="","",VLOOKUP($B77,seznam!$A$2:$D$269,4,"nepravda"))</f>
      </c>
      <c r="F77" s="79">
        <f>IF($C77="","",VLOOKUP($C77,seznam!$A$2:$B$269,2,"nepravda"))</f>
      </c>
      <c r="G77" s="79">
        <f>IF($C77="","",VLOOKUP($C77,seznam!$A$2:$D$269,4,"nepravda"))</f>
      </c>
      <c r="H77" s="79">
        <f>IF(C77="","",VLOOKUP($B77,seznam!$A$2:$E$269,5,"nepravda")+VLOOKUP($C77,seznam!$A$2:$E$269,5))</f>
      </c>
    </row>
    <row r="78" spans="1:8" ht="9.75">
      <c r="A78" s="79">
        <v>78</v>
      </c>
      <c r="B78" s="80"/>
      <c r="C78" s="80"/>
      <c r="D78" s="79">
        <f>IF($B78="","",VLOOKUP($B78,seznam!$A$2:$B$269,2,"nepravda"))</f>
      </c>
      <c r="E78" s="79">
        <f>IF($B78="","",VLOOKUP($B78,seznam!$A$2:$D$269,4,"nepravda"))</f>
      </c>
      <c r="F78" s="79">
        <f>IF($C78="","",VLOOKUP($C78,seznam!$A$2:$B$269,2,"nepravda"))</f>
      </c>
      <c r="G78" s="79">
        <f>IF($C78="","",VLOOKUP($C78,seznam!$A$2:$D$269,4,"nepravda"))</f>
      </c>
      <c r="H78" s="79">
        <f>IF(C78="","",VLOOKUP($B78,seznam!$A$2:$E$269,5,"nepravda")+VLOOKUP($C78,seznam!$A$2:$E$269,5))</f>
      </c>
    </row>
    <row r="79" spans="1:8" ht="9.75">
      <c r="A79" s="79">
        <v>79</v>
      </c>
      <c r="B79" s="80"/>
      <c r="C79" s="80"/>
      <c r="D79" s="79">
        <f>IF($B79="","",VLOOKUP($B79,seznam!$A$2:$B$269,2,"nepravda"))</f>
      </c>
      <c r="E79" s="79">
        <f>IF($B79="","",VLOOKUP($B79,seznam!$A$2:$D$269,4,"nepravda"))</f>
      </c>
      <c r="F79" s="79">
        <f>IF($C79="","",VLOOKUP($C79,seznam!$A$2:$B$269,2,"nepravda"))</f>
      </c>
      <c r="G79" s="79">
        <f>IF($C79="","",VLOOKUP($C79,seznam!$A$2:$D$269,4,"nepravda"))</f>
      </c>
      <c r="H79" s="79">
        <f>IF(C79="","",VLOOKUP($B79,seznam!$A$2:$E$269,5,"nepravda")+VLOOKUP($C79,seznam!$A$2:$E$269,5))</f>
      </c>
    </row>
    <row r="80" spans="1:8" ht="9.75">
      <c r="A80" s="79">
        <v>80</v>
      </c>
      <c r="B80" s="80"/>
      <c r="C80" s="80"/>
      <c r="D80" s="79">
        <f>IF($B80="","",VLOOKUP($B80,seznam!$A$2:$B$269,2,"nepravda"))</f>
      </c>
      <c r="E80" s="79">
        <f>IF($B80="","",VLOOKUP($B80,seznam!$A$2:$D$269,4,"nepravda"))</f>
      </c>
      <c r="F80" s="79">
        <f>IF($C80="","",VLOOKUP($C80,seznam!$A$2:$B$269,2,"nepravda"))</f>
      </c>
      <c r="G80" s="79">
        <f>IF($C80="","",VLOOKUP($C80,seznam!$A$2:$D$269,4,"nepravda"))</f>
      </c>
      <c r="H80" s="79">
        <f>IF(C80="","",VLOOKUP($B80,seznam!$A$2:$E$269,5,"nepravda")+VLOOKUP($C80,seznam!$A$2:$E$269,5))</f>
      </c>
    </row>
    <row r="81" spans="1:8" ht="9.75">
      <c r="A81" s="79">
        <v>81</v>
      </c>
      <c r="B81" s="80"/>
      <c r="C81" s="80"/>
      <c r="D81" s="79">
        <f>IF($B81="","",VLOOKUP($B81,seznam!$A$2:$B$269,2,"nepravda"))</f>
      </c>
      <c r="E81" s="79">
        <f>IF($B81="","",VLOOKUP($B81,seznam!$A$2:$D$269,4,"nepravda"))</f>
      </c>
      <c r="F81" s="79">
        <f>IF($C81="","",VLOOKUP($C81,seznam!$A$2:$B$269,2,"nepravda"))</f>
      </c>
      <c r="G81" s="79">
        <f>IF($C81="","",VLOOKUP($C81,seznam!$A$2:$D$269,4,"nepravda"))</f>
      </c>
      <c r="H81" s="79">
        <f>IF(C81="","",VLOOKUP($B81,seznam!$A$2:$E$269,5,"nepravda")+VLOOKUP($C81,seznam!$A$2:$E$269,5))</f>
      </c>
    </row>
    <row r="82" spans="1:8" ht="9.75">
      <c r="A82" s="79">
        <v>82</v>
      </c>
      <c r="B82" s="80"/>
      <c r="C82" s="80"/>
      <c r="D82" s="79">
        <f>IF($B82="","",VLOOKUP($B82,seznam!$A$2:$B$269,2,"nepravda"))</f>
      </c>
      <c r="E82" s="79">
        <f>IF($B82="","",VLOOKUP($B82,seznam!$A$2:$D$269,4,"nepravda"))</f>
      </c>
      <c r="F82" s="79">
        <f>IF($C82="","",VLOOKUP($C82,seznam!$A$2:$B$269,2,"nepravda"))</f>
      </c>
      <c r="G82" s="79">
        <f>IF($C82="","",VLOOKUP($C82,seznam!$A$2:$D$269,4,"nepravda"))</f>
      </c>
      <c r="H82" s="79">
        <f>IF(C82="","",VLOOKUP($B82,seznam!$A$2:$E$269,5,"nepravda")+VLOOKUP($C82,seznam!$A$2:$E$269,5))</f>
      </c>
    </row>
    <row r="83" spans="1:8" ht="9.75">
      <c r="A83" s="79">
        <v>83</v>
      </c>
      <c r="B83" s="80"/>
      <c r="C83" s="80"/>
      <c r="D83" s="79">
        <f>IF($B83="","",VLOOKUP($B83,seznam!$A$2:$B$269,2,"nepravda"))</f>
      </c>
      <c r="E83" s="79">
        <f>IF($B83="","",VLOOKUP($B83,seznam!$A$2:$D$269,4,"nepravda"))</f>
      </c>
      <c r="F83" s="79">
        <f>IF($C83="","",VLOOKUP($C83,seznam!$A$2:$B$269,2,"nepravda"))</f>
      </c>
      <c r="G83" s="79">
        <f>IF($C83="","",VLOOKUP($C83,seznam!$A$2:$D$269,4,"nepravda"))</f>
      </c>
      <c r="H83" s="79">
        <f>IF(C83="","",VLOOKUP($B83,seznam!$A$2:$E$269,5,"nepravda")+VLOOKUP($C83,seznam!$A$2:$E$269,5))</f>
      </c>
    </row>
    <row r="84" spans="1:8" ht="9.75">
      <c r="A84" s="79">
        <v>84</v>
      </c>
      <c r="B84" s="80"/>
      <c r="C84" s="80"/>
      <c r="D84" s="79">
        <f>IF($B84="","",VLOOKUP($B84,seznam!$A$2:$B$269,2,"nepravda"))</f>
      </c>
      <c r="E84" s="79">
        <f>IF($B84="","",VLOOKUP($B84,seznam!$A$2:$D$269,4,"nepravda"))</f>
      </c>
      <c r="F84" s="79">
        <f>IF($C84="","",VLOOKUP($C84,seznam!$A$2:$B$269,2,"nepravda"))</f>
      </c>
      <c r="G84" s="79">
        <f>IF($C84="","",VLOOKUP($C84,seznam!$A$2:$D$269,4,"nepravda"))</f>
      </c>
      <c r="H84" s="79">
        <f>IF(C84="","",VLOOKUP($B84,seznam!$A$2:$E$269,5,"nepravda")+VLOOKUP($C84,seznam!$A$2:$E$269,5))</f>
      </c>
    </row>
    <row r="85" spans="1:8" ht="9.75">
      <c r="A85" s="79">
        <v>85</v>
      </c>
      <c r="B85" s="80"/>
      <c r="C85" s="80"/>
      <c r="D85" s="79">
        <f>IF($B85="","",VLOOKUP($B85,seznam!$A$2:$B$269,2,"nepravda"))</f>
      </c>
      <c r="E85" s="79">
        <f>IF($B85="","",VLOOKUP($B85,seznam!$A$2:$D$269,4,"nepravda"))</f>
      </c>
      <c r="F85" s="79">
        <f>IF($C85="","",VLOOKUP($C85,seznam!$A$2:$B$269,2,"nepravda"))</f>
      </c>
      <c r="G85" s="79">
        <f>IF($C85="","",VLOOKUP($C85,seznam!$A$2:$D$269,4,"nepravda"))</f>
      </c>
      <c r="H85" s="79">
        <f>IF(C85="","",VLOOKUP($B85,seznam!$A$2:$E$269,5,"nepravda")+VLOOKUP($C85,seznam!$A$2:$E$269,5))</f>
      </c>
    </row>
    <row r="86" spans="1:8" ht="9.75">
      <c r="A86" s="79">
        <v>86</v>
      </c>
      <c r="B86" s="80"/>
      <c r="C86" s="80"/>
      <c r="D86" s="79">
        <f>IF($B86="","",VLOOKUP($B86,seznam!$A$2:$B$269,2,"nepravda"))</f>
      </c>
      <c r="E86" s="79">
        <f>IF($B86="","",VLOOKUP($B86,seznam!$A$2:$D$269,4,"nepravda"))</f>
      </c>
      <c r="F86" s="79">
        <f>IF($C86="","",VLOOKUP($C86,seznam!$A$2:$B$269,2,"nepravda"))</f>
      </c>
      <c r="G86" s="79">
        <f>IF($C86="","",VLOOKUP($C86,seznam!$A$2:$D$269,4,"nepravda"))</f>
      </c>
      <c r="H86" s="79">
        <f>IF(C86="","",VLOOKUP($B86,seznam!$A$2:$E$269,5,"nepravda")+VLOOKUP($C86,seznam!$A$2:$E$269,5))</f>
      </c>
    </row>
    <row r="87" spans="1:8" ht="9.75">
      <c r="A87" s="79">
        <v>87</v>
      </c>
      <c r="B87" s="80"/>
      <c r="C87" s="80"/>
      <c r="D87" s="79">
        <f>IF($B87="","",VLOOKUP($B87,seznam!$A$2:$B$269,2,"nepravda"))</f>
      </c>
      <c r="E87" s="79">
        <f>IF($B87="","",VLOOKUP($B87,seznam!$A$2:$D$269,4,"nepravda"))</f>
      </c>
      <c r="F87" s="79">
        <f>IF($C87="","",VLOOKUP($C87,seznam!$A$2:$B$269,2,"nepravda"))</f>
      </c>
      <c r="G87" s="79">
        <f>IF($C87="","",VLOOKUP($C87,seznam!$A$2:$D$269,4,"nepravda"))</f>
      </c>
      <c r="H87" s="79">
        <f>IF(C87="","",VLOOKUP($B87,seznam!$A$2:$E$269,5,"nepravda")+VLOOKUP($C87,seznam!$A$2:$E$269,5))</f>
      </c>
    </row>
    <row r="88" spans="1:8" ht="9.75">
      <c r="A88" s="79">
        <v>88</v>
      </c>
      <c r="B88" s="80"/>
      <c r="C88" s="80"/>
      <c r="D88" s="79">
        <f>IF($B88="","",VLOOKUP($B88,seznam!$A$2:$B$269,2,"nepravda"))</f>
      </c>
      <c r="E88" s="79">
        <f>IF($B88="","",VLOOKUP($B88,seznam!$A$2:$D$269,4,"nepravda"))</f>
      </c>
      <c r="F88" s="79">
        <f>IF($C88="","",VLOOKUP($C88,seznam!$A$2:$B$269,2,"nepravda"))</f>
      </c>
      <c r="G88" s="79">
        <f>IF($C88="","",VLOOKUP($C88,seznam!$A$2:$D$269,4,"nepravda"))</f>
      </c>
      <c r="H88" s="79">
        <f>IF(C88="","",VLOOKUP($B88,seznam!$A$2:$E$269,5,"nepravda")+VLOOKUP($C88,seznam!$A$2:$E$269,5))</f>
      </c>
    </row>
    <row r="89" spans="1:8" ht="9.75">
      <c r="A89" s="79">
        <v>89</v>
      </c>
      <c r="B89" s="80"/>
      <c r="C89" s="80"/>
      <c r="D89" s="79">
        <f>IF($B89="","",VLOOKUP($B89,seznam!$A$2:$B$269,2,"nepravda"))</f>
      </c>
      <c r="E89" s="79">
        <f>IF($B89="","",VLOOKUP($B89,seznam!$A$2:$D$269,4,"nepravda"))</f>
      </c>
      <c r="F89" s="79">
        <f>IF($C89="","",VLOOKUP($C89,seznam!$A$2:$B$269,2,"nepravda"))</f>
      </c>
      <c r="G89" s="79">
        <f>IF($C89="","",VLOOKUP($C89,seznam!$A$2:$D$269,4,"nepravda"))</f>
      </c>
      <c r="H89" s="79">
        <f>IF(C89="","",VLOOKUP($B89,seznam!$A$2:$E$269,5,"nepravda")+VLOOKUP($C89,seznam!$A$2:$E$269,5))</f>
      </c>
    </row>
    <row r="90" spans="1:8" ht="9.75">
      <c r="A90" s="79">
        <v>90</v>
      </c>
      <c r="B90" s="80"/>
      <c r="C90" s="80"/>
      <c r="D90" s="79">
        <f>IF($B90="","",VLOOKUP($B90,seznam!$A$2:$B$269,2,"nepravda"))</f>
      </c>
      <c r="E90" s="79">
        <f>IF($B90="","",VLOOKUP($B90,seznam!$A$2:$D$269,4,"nepravda"))</f>
      </c>
      <c r="F90" s="79">
        <f>IF($C90="","",VLOOKUP($C90,seznam!$A$2:$B$269,2,"nepravda"))</f>
      </c>
      <c r="G90" s="79">
        <f>IF($C90="","",VLOOKUP($C90,seznam!$A$2:$D$269,4,"nepravda"))</f>
      </c>
      <c r="H90" s="79">
        <f>IF(C90="","",VLOOKUP($B90,seznam!$A$2:$E$269,5,"nepravda")+VLOOKUP($C90,seznam!$A$2:$E$269,5))</f>
      </c>
    </row>
    <row r="91" spans="1:8" ht="9.75">
      <c r="A91" s="79">
        <v>91</v>
      </c>
      <c r="B91" s="80"/>
      <c r="C91" s="80"/>
      <c r="D91" s="79">
        <f>IF($B91="","",VLOOKUP($B91,seznam!$A$2:$B$269,2,"nepravda"))</f>
      </c>
      <c r="E91" s="79">
        <f>IF($B91="","",VLOOKUP($B91,seznam!$A$2:$D$269,4,"nepravda"))</f>
      </c>
      <c r="F91" s="79">
        <f>IF($C91="","",VLOOKUP($C91,seznam!$A$2:$B$269,2,"nepravda"))</f>
      </c>
      <c r="G91" s="79">
        <f>IF($C91="","",VLOOKUP($C91,seznam!$A$2:$D$269,4,"nepravda"))</f>
      </c>
      <c r="H91" s="79">
        <f>IF(C91="","",VLOOKUP($B91,seznam!$A$2:$E$269,5,"nepravda")+VLOOKUP($C91,seznam!$A$2:$E$269,5))</f>
      </c>
    </row>
    <row r="92" spans="1:8" ht="9.75">
      <c r="A92" s="79">
        <v>92</v>
      </c>
      <c r="B92" s="80"/>
      <c r="C92" s="80"/>
      <c r="D92" s="79">
        <f>IF($B92="","",VLOOKUP($B92,seznam!$A$2:$B$269,2,"nepravda"))</f>
      </c>
      <c r="E92" s="79">
        <f>IF($B92="","",VLOOKUP($B92,seznam!$A$2:$D$269,4,"nepravda"))</f>
      </c>
      <c r="F92" s="79">
        <f>IF($C92="","",VLOOKUP($C92,seznam!$A$2:$B$269,2,"nepravda"))</f>
      </c>
      <c r="G92" s="79">
        <f>IF($C92="","",VLOOKUP($C92,seznam!$A$2:$D$269,4,"nepravda"))</f>
      </c>
      <c r="H92" s="79">
        <f>IF(C92="","",VLOOKUP($B92,seznam!$A$2:$E$269,5,"nepravda")+VLOOKUP($C92,seznam!$A$2:$E$269,5))</f>
      </c>
    </row>
    <row r="93" spans="1:8" ht="9.75">
      <c r="A93" s="79">
        <v>93</v>
      </c>
      <c r="B93" s="80"/>
      <c r="C93" s="80"/>
      <c r="D93" s="79">
        <f>IF($B93="","",VLOOKUP($B93,seznam!$A$2:$B$269,2,"nepravda"))</f>
      </c>
      <c r="E93" s="79">
        <f>IF($B93="","",VLOOKUP($B93,seznam!$A$2:$D$269,4,"nepravda"))</f>
      </c>
      <c r="F93" s="79">
        <f>IF($C93="","",VLOOKUP($C93,seznam!$A$2:$B$269,2,"nepravda"))</f>
      </c>
      <c r="G93" s="79">
        <f>IF($C93="","",VLOOKUP($C93,seznam!$A$2:$D$269,4,"nepravda"))</f>
      </c>
      <c r="H93" s="79">
        <f>IF(C93="","",VLOOKUP($B93,seznam!$A$2:$E$269,5,"nepravda")+VLOOKUP($C93,seznam!$A$2:$E$269,5))</f>
      </c>
    </row>
    <row r="94" spans="1:8" ht="9.75">
      <c r="A94" s="79">
        <v>94</v>
      </c>
      <c r="B94" s="80"/>
      <c r="C94" s="80"/>
      <c r="D94" s="79">
        <f>IF($B94="","",VLOOKUP($B94,seznam!$A$2:$B$269,2,"nepravda"))</f>
      </c>
      <c r="E94" s="79">
        <f>IF($B94="","",VLOOKUP($B94,seznam!$A$2:$D$269,4,"nepravda"))</f>
      </c>
      <c r="F94" s="79">
        <f>IF($C94="","",VLOOKUP($C94,seznam!$A$2:$B$269,2,"nepravda"))</f>
      </c>
      <c r="G94" s="79">
        <f>IF($C94="","",VLOOKUP($C94,seznam!$A$2:$D$269,4,"nepravda"))</f>
      </c>
      <c r="H94" s="79">
        <f>IF(C94="","",VLOOKUP($B94,seznam!$A$2:$E$269,5,"nepravda")+VLOOKUP($C94,seznam!$A$2:$E$269,5))</f>
      </c>
    </row>
    <row r="95" spans="1:8" ht="9.75">
      <c r="A95" s="79">
        <v>95</v>
      </c>
      <c r="B95" s="80"/>
      <c r="C95" s="80"/>
      <c r="D95" s="79">
        <f>IF($B95="","",VLOOKUP($B95,seznam!$A$2:$B$269,2,"nepravda"))</f>
      </c>
      <c r="E95" s="79">
        <f>IF($B95="","",VLOOKUP($B95,seznam!$A$2:$D$269,4,"nepravda"))</f>
      </c>
      <c r="F95" s="79">
        <f>IF($C95="","",VLOOKUP($C95,seznam!$A$2:$B$269,2,"nepravda"))</f>
      </c>
      <c r="G95" s="79">
        <f>IF($C95="","",VLOOKUP($C95,seznam!$A$2:$D$269,4,"nepravda"))</f>
      </c>
      <c r="H95" s="79">
        <f>IF(C95="","",VLOOKUP($B95,seznam!$A$2:$E$269,5,"nepravda")+VLOOKUP($C95,seznam!$A$2:$E$269,5))</f>
      </c>
    </row>
    <row r="96" spans="1:8" ht="9.75">
      <c r="A96" s="79">
        <v>96</v>
      </c>
      <c r="B96" s="80"/>
      <c r="C96" s="80"/>
      <c r="D96" s="79">
        <f>IF($B96="","",VLOOKUP($B96,seznam!$A$2:$B$269,2,"nepravda"))</f>
      </c>
      <c r="E96" s="79">
        <f>IF($B96="","",VLOOKUP($B96,seznam!$A$2:$D$269,4,"nepravda"))</f>
      </c>
      <c r="F96" s="79">
        <f>IF($C96="","",VLOOKUP($C96,seznam!$A$2:$B$269,2,"nepravda"))</f>
      </c>
      <c r="G96" s="79">
        <f>IF($C96="","",VLOOKUP($C96,seznam!$A$2:$D$269,4,"nepravda"))</f>
      </c>
      <c r="H96" s="79">
        <f>IF(C96="","",VLOOKUP($B96,seznam!$A$2:$E$269,5,"nepravda")+VLOOKUP($C96,seznam!$A$2:$E$269,5))</f>
      </c>
    </row>
    <row r="97" spans="1:8" ht="9.75">
      <c r="A97" s="79">
        <v>97</v>
      </c>
      <c r="B97" s="80"/>
      <c r="C97" s="80"/>
      <c r="D97" s="79">
        <f>IF($B97="","",VLOOKUP($B97,seznam!$A$2:$B$269,2,"nepravda"))</f>
      </c>
      <c r="E97" s="79">
        <f>IF($B97="","",VLOOKUP($B97,seznam!$A$2:$D$269,4,"nepravda"))</f>
      </c>
      <c r="F97" s="79">
        <f>IF($C97="","",VLOOKUP($C97,seznam!$A$2:$B$269,2,"nepravda"))</f>
      </c>
      <c r="G97" s="79">
        <f>IF($C97="","",VLOOKUP($C97,seznam!$A$2:$D$269,4,"nepravda"))</f>
      </c>
      <c r="H97" s="79">
        <f>IF(C97="","",VLOOKUP($B97,seznam!$A$2:$E$269,5,"nepravda")+VLOOKUP($C97,seznam!$A$2:$E$269,5))</f>
      </c>
    </row>
    <row r="98" spans="1:8" ht="9.75">
      <c r="A98" s="79">
        <v>98</v>
      </c>
      <c r="B98" s="80"/>
      <c r="C98" s="80"/>
      <c r="D98" s="79">
        <f>IF($B98="","",VLOOKUP($B98,seznam!$A$2:$B$269,2,"nepravda"))</f>
      </c>
      <c r="E98" s="79">
        <f>IF($B98="","",VLOOKUP($B98,seznam!$A$2:$D$269,4,"nepravda"))</f>
      </c>
      <c r="F98" s="79">
        <f>IF($C98="","",VLOOKUP($C98,seznam!$A$2:$B$269,2,"nepravda"))</f>
      </c>
      <c r="G98" s="79">
        <f>IF($C98="","",VLOOKUP($C98,seznam!$A$2:$D$269,4,"nepravda"))</f>
      </c>
      <c r="H98" s="79">
        <f>IF(C98="","",VLOOKUP($B98,seznam!$A$2:$E$269,5,"nepravda")+VLOOKUP($C98,seznam!$A$2:$E$269,5))</f>
      </c>
    </row>
    <row r="99" spans="1:8" ht="9.75">
      <c r="A99" s="79">
        <v>99</v>
      </c>
      <c r="B99" s="80"/>
      <c r="C99" s="80"/>
      <c r="D99" s="79">
        <f>IF($B99="","",VLOOKUP($B99,seznam!$A$2:$B$269,2,"nepravda"))</f>
      </c>
      <c r="E99" s="79">
        <f>IF($B99="","",VLOOKUP($B99,seznam!$A$2:$D$269,4,"nepravda"))</f>
      </c>
      <c r="F99" s="79">
        <f>IF($C99="","",VLOOKUP($C99,seznam!$A$2:$B$269,2,"nepravda"))</f>
      </c>
      <c r="G99" s="79">
        <f>IF($C99="","",VLOOKUP($C99,seznam!$A$2:$D$269,4,"nepravda"))</f>
      </c>
      <c r="H99" s="79">
        <f>IF(C99="","",VLOOKUP($B99,seznam!$A$2:$E$269,5,"nepravda")+VLOOKUP($C99,seznam!$A$2:$E$269,5))</f>
      </c>
    </row>
    <row r="100" spans="1:8" ht="9.75">
      <c r="A100" s="79">
        <v>100</v>
      </c>
      <c r="B100" s="80"/>
      <c r="C100" s="80"/>
      <c r="D100" s="79">
        <f>IF($B100="","",VLOOKUP($B100,seznam!$A$2:$B$269,2,"nepravda"))</f>
      </c>
      <c r="E100" s="79">
        <f>IF($B100="","",VLOOKUP($B100,seznam!$A$2:$D$269,4,"nepravda"))</f>
      </c>
      <c r="F100" s="79">
        <f>IF($C100="","",VLOOKUP($C100,seznam!$A$2:$B$269,2,"nepravda"))</f>
      </c>
      <c r="G100" s="79">
        <f>IF($C100="","",VLOOKUP($C100,seznam!$A$2:$D$269,4,"nepravda"))</f>
      </c>
      <c r="H100" s="79">
        <f>IF(C100="","",VLOOKUP($B100,seznam!$A$2:$E$269,5,"nepravda")+VLOOKUP($C100,seznam!$A$2:$E$269,5))</f>
      </c>
    </row>
    <row r="101" spans="1:8" ht="9.75">
      <c r="A101" s="79">
        <v>101</v>
      </c>
      <c r="B101" s="80"/>
      <c r="C101" s="80"/>
      <c r="D101" s="79">
        <f>IF($B101="","",VLOOKUP($B101,seznam!$A$2:$B$269,2,"nepravda"))</f>
      </c>
      <c r="E101" s="79">
        <f>IF($B101="","",VLOOKUP($B101,seznam!$A$2:$D$269,4,"nepravda"))</f>
      </c>
      <c r="F101" s="79">
        <f>IF($C101="","",VLOOKUP($C101,seznam!$A$2:$B$269,2,"nepravda"))</f>
      </c>
      <c r="G101" s="79">
        <f>IF($C101="","",VLOOKUP($C101,seznam!$A$2:$D$269,4,"nepravda"))</f>
      </c>
      <c r="H101" s="79">
        <f>IF(C101="","",VLOOKUP($B101,seznam!$A$2:$E$269,5,"nepravda")+VLOOKUP($C101,seznam!$A$2:$E$269,5))</f>
      </c>
    </row>
    <row r="102" spans="1:8" ht="9.75">
      <c r="A102" s="79">
        <v>102</v>
      </c>
      <c r="B102" s="80"/>
      <c r="C102" s="80"/>
      <c r="D102" s="79">
        <f>IF($B102="","",VLOOKUP($B102,seznam!$A$2:$B$269,2,"nepravda"))</f>
      </c>
      <c r="E102" s="79">
        <f>IF($B102="","",VLOOKUP($B102,seznam!$A$2:$D$269,4,"nepravda"))</f>
      </c>
      <c r="F102" s="79">
        <f>IF($C102="","",VLOOKUP($C102,seznam!$A$2:$B$269,2,"nepravda"))</f>
      </c>
      <c r="G102" s="79">
        <f>IF($C102="","",VLOOKUP($C102,seznam!$A$2:$D$269,4,"nepravda"))</f>
      </c>
      <c r="H102" s="79">
        <f>IF(C102="","",VLOOKUP($B102,seznam!$A$2:$E$269,5,"nepravda")+VLOOKUP($C102,seznam!$A$2:$E$269,5))</f>
      </c>
    </row>
    <row r="103" spans="1:8" ht="9.75">
      <c r="A103" s="79">
        <v>103</v>
      </c>
      <c r="B103" s="80"/>
      <c r="C103" s="80"/>
      <c r="D103" s="79">
        <f>IF($B103="","",VLOOKUP($B103,seznam!$A$2:$B$269,2,"nepravda"))</f>
      </c>
      <c r="E103" s="79">
        <f>IF($B103="","",VLOOKUP($B103,seznam!$A$2:$D$269,4,"nepravda"))</f>
      </c>
      <c r="F103" s="79">
        <f>IF($C103="","",VLOOKUP($C103,seznam!$A$2:$B$269,2,"nepravda"))</f>
      </c>
      <c r="G103" s="79">
        <f>IF($C103="","",VLOOKUP($C103,seznam!$A$2:$D$269,4,"nepravda"))</f>
      </c>
      <c r="H103" s="79">
        <f>IF(C103="","",VLOOKUP($B103,seznam!$A$2:$E$269,5,"nepravda")+VLOOKUP($C103,seznam!$A$2:$E$269,5))</f>
      </c>
    </row>
    <row r="104" spans="1:8" ht="9.75">
      <c r="A104" s="79">
        <v>104</v>
      </c>
      <c r="B104" s="80"/>
      <c r="C104" s="80"/>
      <c r="D104" s="79">
        <f>IF($B104="","",VLOOKUP($B104,seznam!$A$2:$B$269,2,"nepravda"))</f>
      </c>
      <c r="E104" s="79">
        <f>IF($B104="","",VLOOKUP($B104,seznam!$A$2:$D$269,4,"nepravda"))</f>
      </c>
      <c r="F104" s="79">
        <f>IF($C104="","",VLOOKUP($C104,seznam!$A$2:$B$269,2,"nepravda"))</f>
      </c>
      <c r="G104" s="79">
        <f>IF($C104="","",VLOOKUP($C104,seznam!$A$2:$D$269,4,"nepravda"))</f>
      </c>
      <c r="H104" s="79">
        <f>IF(C104="","",VLOOKUP($B104,seznam!$A$2:$E$269,5,"nepravda")+VLOOKUP($C104,seznam!$A$2:$E$269,5))</f>
      </c>
    </row>
    <row r="105" spans="1:8" ht="9.75">
      <c r="A105" s="79">
        <v>105</v>
      </c>
      <c r="B105" s="80"/>
      <c r="C105" s="80"/>
      <c r="D105" s="79">
        <f>IF($B105="","",VLOOKUP($B105,seznam!$A$2:$B$269,2,"nepravda"))</f>
      </c>
      <c r="E105" s="79">
        <f>IF($B105="","",VLOOKUP($B105,seznam!$A$2:$D$269,4,"nepravda"))</f>
      </c>
      <c r="F105" s="79">
        <f>IF($C105="","",VLOOKUP($C105,seznam!$A$2:$B$269,2,"nepravda"))</f>
      </c>
      <c r="G105" s="79">
        <f>IF($C105="","",VLOOKUP($C105,seznam!$A$2:$D$269,4,"nepravda"))</f>
      </c>
      <c r="H105" s="79">
        <f>IF(C105="","",VLOOKUP($B105,seznam!$A$2:$E$269,5,"nepravda")+VLOOKUP($C105,seznam!$A$2:$E$269,5))</f>
      </c>
    </row>
    <row r="106" spans="1:8" ht="9.75">
      <c r="A106" s="79">
        <v>106</v>
      </c>
      <c r="B106" s="80"/>
      <c r="C106" s="80"/>
      <c r="D106" s="79">
        <f>IF($B106="","",VLOOKUP($B106,seznam!$A$2:$B$269,2,"nepravda"))</f>
      </c>
      <c r="E106" s="79">
        <f>IF($B106="","",VLOOKUP($B106,seznam!$A$2:$D$269,4,"nepravda"))</f>
      </c>
      <c r="F106" s="79">
        <f>IF($C106="","",VLOOKUP($C106,seznam!$A$2:$B$269,2,"nepravda"))</f>
      </c>
      <c r="G106" s="79">
        <f>IF($C106="","",VLOOKUP($C106,seznam!$A$2:$D$269,4,"nepravda"))</f>
      </c>
      <c r="H106" s="79">
        <f>IF(C106="","",VLOOKUP($B106,seznam!$A$2:$E$269,5,"nepravda")+VLOOKUP($C106,seznam!$A$2:$E$269,5))</f>
      </c>
    </row>
    <row r="107" spans="1:8" ht="9.75">
      <c r="A107" s="79">
        <v>107</v>
      </c>
      <c r="B107" s="80"/>
      <c r="C107" s="80"/>
      <c r="D107" s="79">
        <f>IF($B107="","",VLOOKUP($B107,seznam!$A$2:$B$269,2,"nepravda"))</f>
      </c>
      <c r="E107" s="79">
        <f>IF($B107="","",VLOOKUP($B107,seznam!$A$2:$D$269,4,"nepravda"))</f>
      </c>
      <c r="F107" s="79">
        <f>IF($C107="","",VLOOKUP($C107,seznam!$A$2:$B$269,2,"nepravda"))</f>
      </c>
      <c r="G107" s="79">
        <f>IF($C107="","",VLOOKUP($C107,seznam!$A$2:$D$269,4,"nepravda"))</f>
      </c>
      <c r="H107" s="79">
        <f>IF(C107="","",VLOOKUP($B107,seznam!$A$2:$E$269,5,"nepravda")+VLOOKUP($C107,seznam!$A$2:$E$269,5))</f>
      </c>
    </row>
    <row r="108" spans="1:8" ht="9.75">
      <c r="A108" s="79">
        <v>108</v>
      </c>
      <c r="B108" s="80"/>
      <c r="C108" s="80"/>
      <c r="D108" s="79">
        <f>IF($B108="","",VLOOKUP($B108,seznam!$A$2:$B$269,2,"nepravda"))</f>
      </c>
      <c r="E108" s="79">
        <f>IF($B108="","",VLOOKUP($B108,seznam!$A$2:$D$269,4,"nepravda"))</f>
      </c>
      <c r="F108" s="79">
        <f>IF($C108="","",VLOOKUP($C108,seznam!$A$2:$B$269,2,"nepravda"))</f>
      </c>
      <c r="G108" s="79">
        <f>IF($C108="","",VLOOKUP($C108,seznam!$A$2:$D$269,4,"nepravda"))</f>
      </c>
      <c r="H108" s="79">
        <f>IF(C108="","",VLOOKUP($B108,seznam!$A$2:$E$269,5,"nepravda")+VLOOKUP($C108,seznam!$A$2:$E$269,5))</f>
      </c>
    </row>
    <row r="109" spans="1:8" ht="9.75">
      <c r="A109" s="79">
        <v>109</v>
      </c>
      <c r="B109" s="80"/>
      <c r="C109" s="80"/>
      <c r="D109" s="79">
        <f>IF($B109="","",VLOOKUP($B109,seznam!$A$2:$B$269,2,"nepravda"))</f>
      </c>
      <c r="E109" s="79">
        <f>IF($B109="","",VLOOKUP($B109,seznam!$A$2:$D$269,4,"nepravda"))</f>
      </c>
      <c r="F109" s="79">
        <f>IF($C109="","",VLOOKUP($C109,seznam!$A$2:$B$269,2,"nepravda"))</f>
      </c>
      <c r="G109" s="79">
        <f>IF($C109="","",VLOOKUP($C109,seznam!$A$2:$D$269,4,"nepravda"))</f>
      </c>
      <c r="H109" s="79">
        <f>IF(C109="","",VLOOKUP($B109,seznam!$A$2:$E$269,5,"nepravda")+VLOOKUP($C109,seznam!$A$2:$E$269,5))</f>
      </c>
    </row>
    <row r="110" spans="1:8" ht="9.75">
      <c r="A110" s="79">
        <v>110</v>
      </c>
      <c r="B110" s="80"/>
      <c r="C110" s="80"/>
      <c r="D110" s="79">
        <f>IF($B110="","",VLOOKUP($B110,seznam!$A$2:$B$269,2,"nepravda"))</f>
      </c>
      <c r="E110" s="79">
        <f>IF($B110="","",VLOOKUP($B110,seznam!$A$2:$D$269,4,"nepravda"))</f>
      </c>
      <c r="F110" s="79">
        <f>IF($C110="","",VLOOKUP($C110,seznam!$A$2:$B$269,2,"nepravda"))</f>
      </c>
      <c r="G110" s="79">
        <f>IF($C110="","",VLOOKUP($C110,seznam!$A$2:$D$269,4,"nepravda"))</f>
      </c>
      <c r="H110" s="79">
        <f>IF(C110="","",VLOOKUP($B110,seznam!$A$2:$E$269,5,"nepravda")+VLOOKUP($C110,seznam!$A$2:$E$269,5))</f>
      </c>
    </row>
    <row r="111" spans="1:8" ht="9.75">
      <c r="A111" s="79">
        <v>111</v>
      </c>
      <c r="B111" s="80"/>
      <c r="C111" s="80"/>
      <c r="D111" s="79">
        <f>IF($B111="","",VLOOKUP($B111,seznam!$A$2:$B$269,2,"nepravda"))</f>
      </c>
      <c r="E111" s="79">
        <f>IF($B111="","",VLOOKUP($B111,seznam!$A$2:$D$269,4,"nepravda"))</f>
      </c>
      <c r="F111" s="79">
        <f>IF($C111="","",VLOOKUP($C111,seznam!$A$2:$B$269,2,"nepravda"))</f>
      </c>
      <c r="G111" s="79">
        <f>IF($C111="","",VLOOKUP($C111,seznam!$A$2:$D$269,4,"nepravda"))</f>
      </c>
      <c r="H111" s="79">
        <f>IF(C111="","",VLOOKUP($B111,seznam!$A$2:$E$269,5,"nepravda")+VLOOKUP($C111,seznam!$A$2:$E$269,5))</f>
      </c>
    </row>
    <row r="112" spans="1:8" ht="9.75">
      <c r="A112" s="79">
        <v>112</v>
      </c>
      <c r="B112" s="80"/>
      <c r="C112" s="80"/>
      <c r="D112" s="79">
        <f>IF($B112="","",VLOOKUP($B112,seznam!$A$2:$B$269,2,"nepravda"))</f>
      </c>
      <c r="E112" s="79">
        <f>IF($B112="","",VLOOKUP($B112,seznam!$A$2:$D$269,4,"nepravda"))</f>
      </c>
      <c r="F112" s="79">
        <f>IF($C112="","",VLOOKUP($C112,seznam!$A$2:$B$269,2,"nepravda"))</f>
      </c>
      <c r="G112" s="79">
        <f>IF($C112="","",VLOOKUP($C112,seznam!$A$2:$D$269,4,"nepravda"))</f>
      </c>
      <c r="H112" s="79">
        <f>IF(C112="","",VLOOKUP($B112,seznam!$A$2:$E$269,5,"nepravda")+VLOOKUP($C112,seznam!$A$2:$E$269,5))</f>
      </c>
    </row>
    <row r="113" spans="1:8" ht="9.75">
      <c r="A113" s="79">
        <v>113</v>
      </c>
      <c r="B113" s="80"/>
      <c r="C113" s="80"/>
      <c r="D113" s="79">
        <f>IF($B113="","",VLOOKUP($B113,seznam!$A$2:$B$269,2,"nepravda"))</f>
      </c>
      <c r="E113" s="79">
        <f>IF($B113="","",VLOOKUP($B113,seznam!$A$2:$D$269,4,"nepravda"))</f>
      </c>
      <c r="F113" s="79">
        <f>IF($C113="","",VLOOKUP($C113,seznam!$A$2:$B$269,2,"nepravda"))</f>
      </c>
      <c r="G113" s="79">
        <f>IF($C113="","",VLOOKUP($C113,seznam!$A$2:$D$269,4,"nepravda"))</f>
      </c>
      <c r="H113" s="79">
        <f>IF(C113="","",VLOOKUP($B113,seznam!$A$2:$E$269,5,"nepravda")+VLOOKUP($C113,seznam!$A$2:$E$269,5))</f>
      </c>
    </row>
    <row r="114" spans="1:8" ht="9.75">
      <c r="A114" s="79">
        <v>114</v>
      </c>
      <c r="B114" s="80"/>
      <c r="C114" s="80"/>
      <c r="D114" s="79">
        <f>IF($B114="","",VLOOKUP($B114,seznam!$A$2:$B$269,2,"nepravda"))</f>
      </c>
      <c r="E114" s="79">
        <f>IF($B114="","",VLOOKUP($B114,seznam!$A$2:$D$269,4,"nepravda"))</f>
      </c>
      <c r="F114" s="79">
        <f>IF($C114="","",VLOOKUP($C114,seznam!$A$2:$B$269,2,"nepravda"))</f>
      </c>
      <c r="G114" s="79">
        <f>IF($C114="","",VLOOKUP($C114,seznam!$A$2:$D$269,4,"nepravda"))</f>
      </c>
      <c r="H114" s="79">
        <f>IF(C114="","",VLOOKUP($B114,seznam!$A$2:$E$269,5,"nepravda")+VLOOKUP($C114,seznam!$A$2:$E$269,5))</f>
      </c>
    </row>
    <row r="115" spans="1:8" ht="9.75">
      <c r="A115" s="79">
        <v>115</v>
      </c>
      <c r="B115" s="80"/>
      <c r="C115" s="80"/>
      <c r="D115" s="79">
        <f>IF($B115="","",VLOOKUP($B115,seznam!$A$2:$B$269,2,"nepravda"))</f>
      </c>
      <c r="E115" s="79">
        <f>IF($B115="","",VLOOKUP($B115,seznam!$A$2:$D$269,4,"nepravda"))</f>
      </c>
      <c r="F115" s="79">
        <f>IF($C115="","",VLOOKUP($C115,seznam!$A$2:$B$269,2,"nepravda"))</f>
      </c>
      <c r="G115" s="79">
        <f>IF($C115="","",VLOOKUP($C115,seznam!$A$2:$D$269,4,"nepravda"))</f>
      </c>
      <c r="H115" s="79">
        <f>IF(C115="","",VLOOKUP($B115,seznam!$A$2:$E$269,5,"nepravda")+VLOOKUP($C115,seznam!$A$2:$E$269,5))</f>
      </c>
    </row>
    <row r="116" spans="1:8" ht="9.75">
      <c r="A116" s="79">
        <v>116</v>
      </c>
      <c r="B116" s="80"/>
      <c r="C116" s="80"/>
      <c r="D116" s="79">
        <f>IF($B116="","",VLOOKUP($B116,seznam!$A$2:$B$269,2,"nepravda"))</f>
      </c>
      <c r="E116" s="79">
        <f>IF($B116="","",VLOOKUP($B116,seznam!$A$2:$D$269,4,"nepravda"))</f>
      </c>
      <c r="F116" s="79">
        <f>IF($C116="","",VLOOKUP($C116,seznam!$A$2:$B$269,2,"nepravda"))</f>
      </c>
      <c r="G116" s="79">
        <f>IF($C116="","",VLOOKUP($C116,seznam!$A$2:$D$269,4,"nepravda"))</f>
      </c>
      <c r="H116" s="79">
        <f>IF(C116="","",VLOOKUP($B116,seznam!$A$2:$E$269,5,"nepravda")+VLOOKUP($C116,seznam!$A$2:$E$269,5))</f>
      </c>
    </row>
    <row r="117" spans="1:8" ht="9.75">
      <c r="A117" s="79">
        <v>117</v>
      </c>
      <c r="B117" s="80"/>
      <c r="C117" s="80"/>
      <c r="D117" s="79">
        <f>IF($B117="","",VLOOKUP($B117,seznam!$A$2:$B$269,2,"nepravda"))</f>
      </c>
      <c r="E117" s="79">
        <f>IF($B117="","",VLOOKUP($B117,seznam!$A$2:$D$269,4,"nepravda"))</f>
      </c>
      <c r="F117" s="79">
        <f>IF($C117="","",VLOOKUP($C117,seznam!$A$2:$B$269,2,"nepravda"))</f>
      </c>
      <c r="G117" s="79">
        <f>IF($C117="","",VLOOKUP($C117,seznam!$A$2:$D$269,4,"nepravda"))</f>
      </c>
      <c r="H117" s="79">
        <f>IF(C117="","",VLOOKUP($B117,seznam!$A$2:$E$269,5,"nepravda")+VLOOKUP($C117,seznam!$A$2:$E$269,5))</f>
      </c>
    </row>
    <row r="118" spans="1:8" ht="9.75">
      <c r="A118" s="79">
        <v>118</v>
      </c>
      <c r="B118" s="80"/>
      <c r="C118" s="80"/>
      <c r="D118" s="79">
        <f>IF($B118="","",VLOOKUP($B118,seznam!$A$2:$B$269,2,"nepravda"))</f>
      </c>
      <c r="E118" s="79">
        <f>IF($B118="","",VLOOKUP($B118,seznam!$A$2:$D$269,4,"nepravda"))</f>
      </c>
      <c r="F118" s="79">
        <f>IF($C118="","",VLOOKUP($C118,seznam!$A$2:$B$269,2,"nepravda"))</f>
      </c>
      <c r="G118" s="79">
        <f>IF($C118="","",VLOOKUP($C118,seznam!$A$2:$D$269,4,"nepravda"))</f>
      </c>
      <c r="H118" s="79">
        <f>IF(C118="","",VLOOKUP($B118,seznam!$A$2:$E$269,5,"nepravda")+VLOOKUP($C118,seznam!$A$2:$E$269,5))</f>
      </c>
    </row>
    <row r="119" spans="1:8" ht="9.75">
      <c r="A119" s="79">
        <v>119</v>
      </c>
      <c r="B119" s="80"/>
      <c r="C119" s="80"/>
      <c r="D119" s="79">
        <f>IF($B119="","",VLOOKUP($B119,seznam!$A$2:$B$269,2,"nepravda"))</f>
      </c>
      <c r="E119" s="79">
        <f>IF($B119="","",VLOOKUP($B119,seznam!$A$2:$D$269,4,"nepravda"))</f>
      </c>
      <c r="F119" s="79">
        <f>IF($C119="","",VLOOKUP($C119,seznam!$A$2:$B$269,2,"nepravda"))</f>
      </c>
      <c r="G119" s="79">
        <f>IF($C119="","",VLOOKUP($C119,seznam!$A$2:$D$269,4,"nepravda"))</f>
      </c>
      <c r="H119" s="79">
        <f>IF(C119="","",VLOOKUP($B119,seznam!$A$2:$E$269,5,"nepravda")+VLOOKUP($C119,seznam!$A$2:$E$269,5))</f>
      </c>
    </row>
    <row r="120" spans="1:8" ht="9.75">
      <c r="A120" s="79">
        <v>120</v>
      </c>
      <c r="B120" s="80"/>
      <c r="C120" s="80"/>
      <c r="D120" s="79">
        <f>IF($B120="","",VLOOKUP($B120,seznam!$A$2:$B$269,2,"nepravda"))</f>
      </c>
      <c r="E120" s="79">
        <f>IF($B120="","",VLOOKUP($B120,seznam!$A$2:$D$269,4,"nepravda"))</f>
      </c>
      <c r="F120" s="79">
        <f>IF($C120="","",VLOOKUP($C120,seznam!$A$2:$B$269,2,"nepravda"))</f>
      </c>
      <c r="G120" s="79">
        <f>IF($C120="","",VLOOKUP($C120,seznam!$A$2:$D$269,4,"nepravda"))</f>
      </c>
      <c r="H120" s="79">
        <f>IF(C120="","",VLOOKUP($B120,seznam!$A$2:$E$269,5,"nepravda")+VLOOKUP($C120,seznam!$A$2:$E$269,5))</f>
      </c>
    </row>
    <row r="121" spans="1:8" ht="9.75">
      <c r="A121" s="79">
        <v>121</v>
      </c>
      <c r="B121" s="80"/>
      <c r="C121" s="80"/>
      <c r="D121" s="79">
        <f>IF($B121="","",VLOOKUP($B121,seznam!$A$2:$B$269,2,"nepravda"))</f>
      </c>
      <c r="E121" s="79">
        <f>IF($B121="","",VLOOKUP($B121,seznam!$A$2:$D$269,4,"nepravda"))</f>
      </c>
      <c r="F121" s="79">
        <f>IF($C121="","",VLOOKUP($C121,seznam!$A$2:$B$269,2,"nepravda"))</f>
      </c>
      <c r="G121" s="79">
        <f>IF($C121="","",VLOOKUP($C121,seznam!$A$2:$D$269,4,"nepravda"))</f>
      </c>
      <c r="H121" s="79">
        <f>IF(C121="","",VLOOKUP($B121,seznam!$A$2:$E$269,5,"nepravda")+VLOOKUP($C121,seznam!$A$2:$E$269,5))</f>
      </c>
    </row>
    <row r="122" spans="1:8" ht="9.75">
      <c r="A122" s="79">
        <v>122</v>
      </c>
      <c r="B122" s="80"/>
      <c r="C122" s="80"/>
      <c r="D122" s="79">
        <f>IF($B122="","",VLOOKUP($B122,seznam!$A$2:$B$269,2,"nepravda"))</f>
      </c>
      <c r="E122" s="79">
        <f>IF($B122="","",VLOOKUP($B122,seznam!$A$2:$D$269,4,"nepravda"))</f>
      </c>
      <c r="F122" s="79">
        <f>IF($C122="","",VLOOKUP($C122,seznam!$A$2:$B$269,2,"nepravda"))</f>
      </c>
      <c r="G122" s="79">
        <f>IF($C122="","",VLOOKUP($C122,seznam!$A$2:$D$269,4,"nepravda"))</f>
      </c>
      <c r="H122" s="79">
        <f>IF(C122="","",VLOOKUP($B122,seznam!$A$2:$E$269,5,"nepravda")+VLOOKUP($C122,seznam!$A$2:$E$269,5))</f>
      </c>
    </row>
    <row r="123" spans="1:8" ht="9.75">
      <c r="A123" s="79">
        <v>123</v>
      </c>
      <c r="B123" s="80"/>
      <c r="C123" s="80"/>
      <c r="D123" s="79">
        <f>IF($B123="","",VLOOKUP($B123,seznam!$A$2:$B$269,2,"nepravda"))</f>
      </c>
      <c r="E123" s="79">
        <f>IF($B123="","",VLOOKUP($B123,seznam!$A$2:$D$269,4,"nepravda"))</f>
      </c>
      <c r="F123" s="79">
        <f>IF($C123="","",VLOOKUP($C123,seznam!$A$2:$B$269,2,"nepravda"))</f>
      </c>
      <c r="G123" s="79">
        <f>IF($C123="","",VLOOKUP($C123,seznam!$A$2:$D$269,4,"nepravda"))</f>
      </c>
      <c r="H123" s="79">
        <f>IF(C123="","",VLOOKUP($B123,seznam!$A$2:$E$269,5,"nepravda")+VLOOKUP($C123,seznam!$A$2:$E$269,5))</f>
      </c>
    </row>
    <row r="124" spans="1:8" ht="9.75">
      <c r="A124" s="79">
        <v>124</v>
      </c>
      <c r="B124" s="80"/>
      <c r="C124" s="80"/>
      <c r="D124" s="79">
        <f>IF($B124="","",VLOOKUP($B124,seznam!$A$2:$B$269,2,"nepravda"))</f>
      </c>
      <c r="E124" s="79">
        <f>IF($B124="","",VLOOKUP($B124,seznam!$A$2:$D$269,4,"nepravda"))</f>
      </c>
      <c r="F124" s="79">
        <f>IF($C124="","",VLOOKUP($C124,seznam!$A$2:$B$269,2,"nepravda"))</f>
      </c>
      <c r="G124" s="79">
        <f>IF($C124="","",VLOOKUP($C124,seznam!$A$2:$D$269,4,"nepravda"))</f>
      </c>
      <c r="H124" s="79">
        <f>IF(C124="","",VLOOKUP($B124,seznam!$A$2:$E$269,5,"nepravda")+VLOOKUP($C124,seznam!$A$2:$E$269,5))</f>
      </c>
    </row>
    <row r="125" spans="1:8" ht="9.75">
      <c r="A125" s="79">
        <v>125</v>
      </c>
      <c r="B125" s="80"/>
      <c r="C125" s="80"/>
      <c r="D125" s="79">
        <f>IF($B125="","",VLOOKUP($B125,seznam!$A$2:$B$269,2,"nepravda"))</f>
      </c>
      <c r="E125" s="79">
        <f>IF($B125="","",VLOOKUP($B125,seznam!$A$2:$D$269,4,"nepravda"))</f>
      </c>
      <c r="F125" s="79">
        <f>IF($C125="","",VLOOKUP($C125,seznam!$A$2:$B$269,2,"nepravda"))</f>
      </c>
      <c r="G125" s="79">
        <f>IF($C125="","",VLOOKUP($C125,seznam!$A$2:$D$269,4,"nepravda"))</f>
      </c>
      <c r="H125" s="79">
        <f>IF(C125="","",VLOOKUP($B125,seznam!$A$2:$E$269,5,"nepravda")+VLOOKUP($C125,seznam!$A$2:$E$269,5))</f>
      </c>
    </row>
    <row r="126" spans="1:8" ht="9.75">
      <c r="A126" s="79">
        <v>126</v>
      </c>
      <c r="B126" s="80"/>
      <c r="C126" s="80"/>
      <c r="D126" s="79">
        <f>IF($B126="","",VLOOKUP($B126,seznam!$A$2:$B$269,2,"nepravda"))</f>
      </c>
      <c r="E126" s="79">
        <f>IF($B126="","",VLOOKUP($B126,seznam!$A$2:$D$269,4,"nepravda"))</f>
      </c>
      <c r="F126" s="79">
        <f>IF($C126="","",VLOOKUP($C126,seznam!$A$2:$B$269,2,"nepravda"))</f>
      </c>
      <c r="G126" s="79">
        <f>IF($C126="","",VLOOKUP($C126,seznam!$A$2:$D$269,4,"nepravda"))</f>
      </c>
      <c r="H126" s="79">
        <f>IF(C126="","",VLOOKUP($B126,seznam!$A$2:$E$269,5,"nepravda")+VLOOKUP($C126,seznam!$A$2:$E$269,5))</f>
      </c>
    </row>
    <row r="127" spans="1:8" ht="9.75">
      <c r="A127" s="79">
        <v>127</v>
      </c>
      <c r="B127" s="80"/>
      <c r="C127" s="80"/>
      <c r="D127" s="79">
        <f>IF($B127="","",VLOOKUP($B127,seznam!$A$2:$B$269,2,"nepravda"))</f>
      </c>
      <c r="E127" s="79">
        <f>IF($B127="","",VLOOKUP($B127,seznam!$A$2:$D$269,4,"nepravda"))</f>
      </c>
      <c r="F127" s="79">
        <f>IF($C127="","",VLOOKUP($C127,seznam!$A$2:$B$269,2,"nepravda"))</f>
      </c>
      <c r="G127" s="79">
        <f>IF($C127="","",VLOOKUP($C127,seznam!$A$2:$D$269,4,"nepravda"))</f>
      </c>
      <c r="H127" s="79">
        <f>IF(C127="","",VLOOKUP($B127,seznam!$A$2:$E$269,5,"nepravda")+VLOOKUP($C127,seznam!$A$2:$E$269,5))</f>
      </c>
    </row>
    <row r="128" spans="1:8" ht="9.75">
      <c r="A128" s="79">
        <v>128</v>
      </c>
      <c r="B128" s="80"/>
      <c r="C128" s="80"/>
      <c r="D128" s="79">
        <f>IF($B128="","",VLOOKUP($B128,seznam!$A$2:$B$269,2,"nepravda"))</f>
      </c>
      <c r="E128" s="79">
        <f>IF($B128="","",VLOOKUP($B128,seznam!$A$2:$D$269,4,"nepravda"))</f>
      </c>
      <c r="F128" s="79">
        <f>IF($C128="","",VLOOKUP($C128,seznam!$A$2:$B$269,2,"nepravda"))</f>
      </c>
      <c r="G128" s="79">
        <f>IF($C128="","",VLOOKUP($C128,seznam!$A$2:$D$269,4,"nepravda"))</f>
      </c>
      <c r="H128" s="79">
        <f>IF(C128="","",VLOOKUP($B128,seznam!$A$2:$E$269,5,"nepravda")+VLOOKUP($C128,seznam!$A$2:$E$269,5))</f>
      </c>
    </row>
  </sheetData>
  <sheetProtection/>
  <printOptions/>
  <pageMargins left="0.787401575" right="0.787401575" top="0.984251969" bottom="0.984251969" header="0.4921259845" footer="0.4921259845"/>
  <pageSetup fitToHeight="0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3"/>
  <sheetViews>
    <sheetView view="pageBreakPreview" zoomScaleSheetLayoutView="100" zoomScalePageLayoutView="0" workbookViewId="0" topLeftCell="A11">
      <selection activeCell="H23" sqref="H23"/>
    </sheetView>
  </sheetViews>
  <sheetFormatPr defaultColWidth="9.125" defaultRowHeight="15" customHeight="1"/>
  <cols>
    <col min="1" max="1" width="3.50390625" style="25" customWidth="1"/>
    <col min="2" max="2" width="31.125" style="25" bestFit="1" customWidth="1"/>
    <col min="3" max="8" width="5.00390625" style="25" customWidth="1"/>
    <col min="9" max="9" width="1.4921875" style="25" customWidth="1"/>
    <col min="10" max="10" width="30.875" style="25" bestFit="1" customWidth="1"/>
    <col min="11" max="11" width="18.625" style="25" bestFit="1" customWidth="1"/>
    <col min="12" max="12" width="4.50390625" style="25" customWidth="1"/>
    <col min="13" max="13" width="15.375" style="25" customWidth="1"/>
    <col min="14" max="14" width="5.375" style="25" bestFit="1" customWidth="1"/>
    <col min="15" max="15" width="14.50390625" style="25" bestFit="1" customWidth="1"/>
    <col min="16" max="16" width="3.625" style="25" customWidth="1"/>
    <col min="17" max="17" width="4.625" style="25" bestFit="1" customWidth="1"/>
    <col min="18" max="18" width="14.50390625" style="25" bestFit="1" customWidth="1"/>
    <col min="19" max="19" width="2.875" style="25" customWidth="1"/>
    <col min="20" max="24" width="5.00390625" style="25" bestFit="1" customWidth="1"/>
    <col min="25" max="26" width="5.125" style="25" customWidth="1"/>
    <col min="27" max="27" width="5.50390625" style="25" bestFit="1" customWidth="1"/>
    <col min="28" max="28" width="4.50390625" style="25" customWidth="1"/>
    <col min="29" max="29" width="8.125" style="25" bestFit="1" customWidth="1"/>
    <col min="30" max="30" width="3.50390625" style="25" customWidth="1"/>
    <col min="31" max="32" width="3.125" style="25" customWidth="1"/>
    <col min="33" max="33" width="1.875" style="25" customWidth="1"/>
    <col min="34" max="38" width="3.125" style="25" customWidth="1"/>
    <col min="39" max="39" width="3.00390625" style="25" customWidth="1"/>
    <col min="40" max="42" width="0" style="25" hidden="1" customWidth="1"/>
    <col min="43" max="16384" width="9.125" style="25" customWidth="1"/>
  </cols>
  <sheetData>
    <row r="1" spans="1:10" ht="22.5">
      <c r="A1" s="3"/>
      <c r="B1" s="87" t="s">
        <v>88</v>
      </c>
      <c r="C1" s="2"/>
      <c r="D1" s="2"/>
      <c r="E1" s="2"/>
      <c r="F1" s="2"/>
      <c r="G1" s="2"/>
      <c r="J1" s="88" t="s">
        <v>89</v>
      </c>
    </row>
    <row r="2" spans="1:11" ht="9" customHeight="1">
      <c r="A2" s="4"/>
      <c r="B2" s="2"/>
      <c r="C2" s="2"/>
      <c r="D2" s="2"/>
      <c r="E2" s="2"/>
      <c r="F2" s="2"/>
      <c r="G2" s="20"/>
      <c r="K2" s="20"/>
    </row>
    <row r="3" spans="1:40" ht="15" customHeight="1" thickBot="1">
      <c r="A3" s="2"/>
      <c r="B3" s="2"/>
      <c r="C3" s="4"/>
      <c r="D3" s="2"/>
      <c r="E3" s="2"/>
      <c r="F3" s="2"/>
      <c r="G3" s="15"/>
      <c r="K3" s="82"/>
      <c r="M3" s="26" t="str">
        <f>B4</f>
        <v>Skupina A</v>
      </c>
      <c r="N3" s="26" t="s">
        <v>0</v>
      </c>
      <c r="O3" s="26" t="s">
        <v>1</v>
      </c>
      <c r="P3" s="26" t="s">
        <v>2</v>
      </c>
      <c r="Q3" s="26" t="s">
        <v>0</v>
      </c>
      <c r="R3" s="26" t="s">
        <v>3</v>
      </c>
      <c r="S3" s="26" t="s">
        <v>2</v>
      </c>
      <c r="T3" s="27" t="s">
        <v>4</v>
      </c>
      <c r="U3" s="27" t="s">
        <v>5</v>
      </c>
      <c r="V3" s="27" t="s">
        <v>6</v>
      </c>
      <c r="W3" s="27" t="s">
        <v>7</v>
      </c>
      <c r="X3" s="27" t="s">
        <v>8</v>
      </c>
      <c r="Y3" s="26" t="s">
        <v>9</v>
      </c>
      <c r="Z3" s="26" t="s">
        <v>10</v>
      </c>
      <c r="AA3" s="26" t="s">
        <v>11</v>
      </c>
      <c r="AN3" s="25" t="s">
        <v>18</v>
      </c>
    </row>
    <row r="4" spans="1:42" ht="16.5" customHeight="1" thickBot="1" thickTop="1">
      <c r="A4" s="46"/>
      <c r="B4" s="47" t="s">
        <v>20</v>
      </c>
      <c r="C4" s="48">
        <v>1</v>
      </c>
      <c r="D4" s="49">
        <v>2</v>
      </c>
      <c r="E4" s="49">
        <v>3</v>
      </c>
      <c r="F4" s="50">
        <v>4</v>
      </c>
      <c r="G4" s="51" t="s">
        <v>16</v>
      </c>
      <c r="H4" s="50" t="s">
        <v>17</v>
      </c>
      <c r="J4" s="25" t="str">
        <f aca="true" t="shared" si="0" ref="J4:J9">CONCATENATE(O4," - ",R4)</f>
        <v>Nespěšný Hynek - bye</v>
      </c>
      <c r="K4" s="25">
        <f aca="true" t="shared" si="1" ref="K4:K9">IF(SUM(Y4:Z4)=0,AD4,CONCATENATE(Y4," : ",Z4," (",T4,",",U4,",",V4,IF(Y4+Z4&gt;3,",",""),W4,IF(Y4+Z4&gt;4,",",""),X4,")"))</f>
      </c>
      <c r="M4" s="25" t="s">
        <v>26</v>
      </c>
      <c r="N4" s="25">
        <f>A5</f>
        <v>1</v>
      </c>
      <c r="O4" s="25" t="str">
        <f>IF($N4=0,"bye",VLOOKUP($N4,seznam!$A$2:$C$268,2))</f>
        <v>Nespěšný Hynek</v>
      </c>
      <c r="P4" s="25" t="str">
        <f>IF($N4=0,"",VLOOKUP($N4,seznam!$A$2:$D$268,4))</f>
        <v>MS Brno</v>
      </c>
      <c r="Q4" s="25">
        <f>A8</f>
        <v>0</v>
      </c>
      <c r="R4" s="25" t="str">
        <f>IF($Q4=0,"bye",VLOOKUP($Q4,seznam!$A$2:$C$268,2))</f>
        <v>bye</v>
      </c>
      <c r="S4" s="25">
        <f>IF($Q4=0,"",VLOOKUP($Q4,seznam!$A$2:$D$268,4))</f>
      </c>
      <c r="T4" s="57"/>
      <c r="U4" s="58"/>
      <c r="V4" s="58"/>
      <c r="W4" s="58"/>
      <c r="X4" s="59"/>
      <c r="Y4" s="25">
        <f aca="true" t="shared" si="2" ref="Y4:Y9">COUNTIF(AH4:AL4,"&gt;0")</f>
        <v>0</v>
      </c>
      <c r="Z4" s="25">
        <f aca="true" t="shared" si="3" ref="Z4:Z9">COUNTIF(AH4:AL4,"&lt;0")</f>
        <v>0</v>
      </c>
      <c r="AA4" s="25">
        <f aca="true" t="shared" si="4" ref="AA4:AA9">IF(Y4=Z4,0,IF(Y4&gt;Z4,N4,Q4))</f>
        <v>0</v>
      </c>
      <c r="AB4" s="25">
        <f>IF($AA4=0,"",VLOOKUP($AA4,seznam!$A$2:$C$268,2))</f>
      </c>
      <c r="AC4" s="25">
        <f aca="true" t="shared" si="5" ref="AC4:AC9">IF(Y4=Z4,"",IF(Y4&gt;Z4,CONCATENATE(Y4,":",Z4," (",T4,",",U4,",",V4,IF(SUM(Y4:Z4)&gt;3,",",""),W4,IF(SUM(Y4:Z4)&gt;4,",",""),X4,")"),CONCATENATE(Z4,":",Y4," (",-T4,",",-U4,",",-V4,IF(SUM(Y4:Z4)&gt;3,CONCATENATE(",",-W4),""),IF(SUM(Y4:Z4)&gt;4,CONCATENATE(",",-X4),""),")")))</f>
      </c>
      <c r="AD4" s="25">
        <f aca="true" t="shared" si="6" ref="AD4:AD9">IF(SUM(Y4:Z4)=0,"",AC4)</f>
      </c>
      <c r="AE4" s="25">
        <f aca="true" t="shared" si="7" ref="AE4:AE9">IF(T4="",0,IF(Y4&gt;Z4,2,1))</f>
        <v>0</v>
      </c>
      <c r="AF4" s="25">
        <f aca="true" t="shared" si="8" ref="AF4:AF9">IF(T4="",0,IF(Z4&gt;Y4,2,1))</f>
        <v>0</v>
      </c>
      <c r="AH4" s="25">
        <f aca="true" t="shared" si="9" ref="AH4:AL9">IF(T4="",0,IF(MID(T4,1,1)="-",-1,1))</f>
        <v>0</v>
      </c>
      <c r="AI4" s="25">
        <f t="shared" si="9"/>
        <v>0</v>
      </c>
      <c r="AJ4" s="25">
        <f t="shared" si="9"/>
        <v>0</v>
      </c>
      <c r="AK4" s="25">
        <f t="shared" si="9"/>
        <v>0</v>
      </c>
      <c r="AL4" s="25">
        <f t="shared" si="9"/>
        <v>0</v>
      </c>
      <c r="AN4" s="25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A&lt;TH&gt;1&lt;TH&gt;2&lt;TH&gt;3&lt;TH&gt;4&lt;TH&gt;Body&lt;TH&gt;Pořadí&lt;/TH&gt;&lt;/TR&gt;</v>
      </c>
      <c r="AP4" s="25" t="str">
        <f>CONCATENATE("&lt;TR&gt;&lt;TD width=250&gt;",J4,"&lt;TD&gt;",K4,"&lt;/TD&gt;&lt;/TR&gt;")</f>
        <v>&lt;TR&gt;&lt;TD width=250&gt;Nespěšný Hynek - bye&lt;TD&gt;&lt;/TD&gt;&lt;/TR&gt;</v>
      </c>
    </row>
    <row r="5" spans="1:42" ht="16.5" customHeight="1" thickTop="1">
      <c r="A5" s="40">
        <v>1</v>
      </c>
      <c r="B5" s="41" t="str">
        <f>IF($A5="","",CONCATENATE(VLOOKUP($A5,seznam!$A$2:$B$268,2)," (",VLOOKUP($A5,seznam!$A$2:$E$269,4),")"))</f>
        <v>Nespěšný Hynek (MS Brno)</v>
      </c>
      <c r="C5" s="42" t="s">
        <v>24</v>
      </c>
      <c r="D5" s="43" t="str">
        <f>IF(Y7+Z7=0,"",CONCATENATE(Y7,":",Z7))</f>
        <v>3:0</v>
      </c>
      <c r="E5" s="43" t="str">
        <f>IF(Y9+Z9=0,"",CONCATENATE(Z9,":",Y9))</f>
        <v>3:1</v>
      </c>
      <c r="F5" s="44">
        <f>IF(Y4+Z4=0,"",CONCATENATE(Y4,":",Z4))</f>
      </c>
      <c r="G5" s="45">
        <f>IF(AE4+AE7+AF9=0,"",AE4+AE7+AF9)</f>
        <v>4</v>
      </c>
      <c r="H5" s="44">
        <v>1</v>
      </c>
      <c r="J5" s="25" t="str">
        <f t="shared" si="0"/>
        <v>Kurdiovský Matěj - Havránek Ondřej</v>
      </c>
      <c r="K5" s="25" t="str">
        <f t="shared" si="1"/>
        <v>2 : 3 (7,-7,-9,10,-6)</v>
      </c>
      <c r="M5" s="25" t="s">
        <v>27</v>
      </c>
      <c r="N5" s="25">
        <f>A6</f>
        <v>8</v>
      </c>
      <c r="O5" s="25" t="str">
        <f>IF($N5=0,"bye",VLOOKUP($N5,seznam!$A$2:$C$268,2))</f>
        <v>Kurdiovský Matěj</v>
      </c>
      <c r="P5" s="25" t="str">
        <f>IF($N5=0,"",VLOOKUP($N5,seznam!$A$2:$D$268,4))</f>
        <v>Tišnov</v>
      </c>
      <c r="Q5" s="25">
        <f>A7</f>
        <v>6</v>
      </c>
      <c r="R5" s="25" t="str">
        <f>IF($Q5=0,"bye",VLOOKUP($Q5,seznam!$A$2:$C$268,2))</f>
        <v>Havránek Ondřej</v>
      </c>
      <c r="S5" s="25" t="str">
        <f>IF($Q5=0,"",VLOOKUP($Q5,seznam!$A$2:$D$268,4))</f>
        <v>MS Brno</v>
      </c>
      <c r="T5" s="60" t="s">
        <v>100</v>
      </c>
      <c r="U5" s="61" t="s">
        <v>108</v>
      </c>
      <c r="V5" s="61" t="s">
        <v>102</v>
      </c>
      <c r="W5" s="61" t="s">
        <v>97</v>
      </c>
      <c r="X5" s="62" t="s">
        <v>104</v>
      </c>
      <c r="Y5" s="25">
        <f t="shared" si="2"/>
        <v>2</v>
      </c>
      <c r="Z5" s="25">
        <f t="shared" si="3"/>
        <v>3</v>
      </c>
      <c r="AA5" s="25">
        <f t="shared" si="4"/>
        <v>6</v>
      </c>
      <c r="AB5" s="25" t="str">
        <f>IF($AA5=0,"",VLOOKUP($AA5,seznam!$A$2:$C$268,2))</f>
        <v>Havránek Ondřej</v>
      </c>
      <c r="AC5" s="25" t="str">
        <f t="shared" si="5"/>
        <v>3:2 (-7,7,9,-10,6)</v>
      </c>
      <c r="AD5" s="25" t="str">
        <f t="shared" si="6"/>
        <v>3:2 (-7,7,9,-10,6)</v>
      </c>
      <c r="AE5" s="25">
        <f t="shared" si="7"/>
        <v>1</v>
      </c>
      <c r="AF5" s="25">
        <f t="shared" si="8"/>
        <v>2</v>
      </c>
      <c r="AH5" s="25">
        <f t="shared" si="9"/>
        <v>1</v>
      </c>
      <c r="AI5" s="25">
        <f t="shared" si="9"/>
        <v>-1</v>
      </c>
      <c r="AJ5" s="25">
        <f t="shared" si="9"/>
        <v>-1</v>
      </c>
      <c r="AK5" s="25">
        <f t="shared" si="9"/>
        <v>1</v>
      </c>
      <c r="AL5" s="25">
        <f t="shared" si="9"/>
        <v>-1</v>
      </c>
      <c r="AN5" s="25" t="str">
        <f>CONCATENATE(AO5,AO6,AO7,AO8,)</f>
        <v>&lt;TR&gt;&lt;TD&gt;1&lt;TD width=200&gt;Nespěšný Hynek (MS Brno)&lt;TD&gt;XXX&lt;TD&gt;3:0&lt;TD&gt;3:1&lt;TD&gt;&lt;TD&gt;4&lt;TD&gt;1&lt;/TD&gt;&lt;/TR&gt;&lt;TR&gt;&lt;TD&gt;8&lt;TD width=200&gt;Kurdiovský Matěj (Tišnov)&lt;TD&gt;0:3&lt;TD&gt;XXX&lt;TD&gt;2:3&lt;TD&gt;&lt;TD&gt;2&lt;TD&gt;3&lt;/TD&gt;&lt;/TR&gt;&lt;TR&gt;&lt;TD&gt;6&lt;TD width=200&gt;Havránek Ondřej (MS Brno)&lt;TD&gt;1:3&lt;TD&gt;3:2&lt;TD&gt;XXX&lt;TD&gt;&lt;TD&gt;3&lt;TD&gt;2&lt;/TD&gt;&lt;/TR&gt;&lt;TR&gt;&lt;TD&gt;&lt;TD width=200&gt;&lt;TD&gt;&lt;TD&gt;&lt;TD&gt;&lt;TD&gt;XXX&lt;TD&gt;&lt;TD&gt;&lt;/TD&gt;&lt;/TR&gt;</v>
      </c>
      <c r="AO5" s="25" t="str">
        <f>CONCATENATE("&lt;TR&gt;&lt;TD&gt;",A5,"&lt;TD width=200&gt;",B5,"&lt;TD&gt;",C5,"&lt;TD&gt;",D5,"&lt;TD&gt;",E5,"&lt;TD&gt;",F5,"&lt;TD&gt;",G5,"&lt;TD&gt;",H5,"&lt;/TD&gt;&lt;/TR&gt;")</f>
        <v>&lt;TR&gt;&lt;TD&gt;1&lt;TD width=200&gt;Nespěšný Hynek (MS Brno)&lt;TD&gt;XXX&lt;TD&gt;3:0&lt;TD&gt;3:1&lt;TD&gt;&lt;TD&gt;4&lt;TD&gt;1&lt;/TD&gt;&lt;/TR&gt;</v>
      </c>
      <c r="AP5" s="25" t="str">
        <f>CONCATENATE("&lt;TR&gt;&lt;TD&gt;",J5,"&lt;TD&gt;",K5,"&lt;/TD&gt;&lt;/TR&gt;")</f>
        <v>&lt;TR&gt;&lt;TD&gt;Kurdiovský Matěj - Havránek Ondřej&lt;TD&gt;2 : 3 (7,-7,-9,10,-6)&lt;/TD&gt;&lt;/TR&gt;</v>
      </c>
    </row>
    <row r="6" spans="1:42" ht="16.5" customHeight="1">
      <c r="A6" s="28">
        <v>8</v>
      </c>
      <c r="B6" s="34" t="str">
        <f>IF($A6="","",CONCATENATE(VLOOKUP($A6,seznam!$A$2:$B$268,2)," (",VLOOKUP($A6,seznam!$A$2:$E$269,4),")"))</f>
        <v>Kurdiovský Matěj (Tišnov)</v>
      </c>
      <c r="C6" s="38" t="str">
        <f>IF(Y7+Z7=0,"",CONCATENATE(Z7,":",Y7))</f>
        <v>0:3</v>
      </c>
      <c r="D6" s="29" t="s">
        <v>24</v>
      </c>
      <c r="E6" s="29" t="str">
        <f>IF(Y5+Z5=0,"",CONCATENATE(Y5,":",Z5))</f>
        <v>2:3</v>
      </c>
      <c r="F6" s="30">
        <f>IF(Y8+Z8=0,"",CONCATENATE(Y8,":",Z8))</f>
      </c>
      <c r="G6" s="36">
        <f>IF(AE5+AF7+AE8=0,"",AE5+AF7+AE8)</f>
        <v>2</v>
      </c>
      <c r="H6" s="30">
        <v>3</v>
      </c>
      <c r="J6" s="25" t="str">
        <f t="shared" si="0"/>
        <v>bye - Havránek Ondřej</v>
      </c>
      <c r="K6" s="25">
        <f t="shared" si="1"/>
      </c>
      <c r="M6" s="25" t="s">
        <v>28</v>
      </c>
      <c r="N6" s="25">
        <f>A8</f>
        <v>0</v>
      </c>
      <c r="O6" s="25" t="str">
        <f>IF($N6=0,"bye",VLOOKUP($N6,seznam!$A$2:$C$268,2))</f>
        <v>bye</v>
      </c>
      <c r="P6" s="25">
        <f>IF($N6=0,"",VLOOKUP($N6,seznam!$A$2:$D$268,4))</f>
      </c>
      <c r="Q6" s="25">
        <f>A7</f>
        <v>6</v>
      </c>
      <c r="R6" s="25" t="str">
        <f>IF($Q6=0,"bye",VLOOKUP($Q6,seznam!$A$2:$C$268,2))</f>
        <v>Havránek Ondřej</v>
      </c>
      <c r="S6" s="25" t="str">
        <f>IF($Q6=0,"",VLOOKUP($Q6,seznam!$A$2:$D$268,4))</f>
        <v>MS Brno</v>
      </c>
      <c r="T6" s="60"/>
      <c r="U6" s="61"/>
      <c r="V6" s="61"/>
      <c r="W6" s="61"/>
      <c r="X6" s="62"/>
      <c r="Y6" s="25">
        <f t="shared" si="2"/>
        <v>0</v>
      </c>
      <c r="Z6" s="25">
        <f t="shared" si="3"/>
        <v>0</v>
      </c>
      <c r="AA6" s="25">
        <f t="shared" si="4"/>
        <v>0</v>
      </c>
      <c r="AB6" s="25">
        <f>IF($AA6=0,"",VLOOKUP($AA6,seznam!$A$2:$C$268,2))</f>
      </c>
      <c r="AC6" s="25">
        <f t="shared" si="5"/>
      </c>
      <c r="AD6" s="25">
        <f t="shared" si="6"/>
      </c>
      <c r="AE6" s="25">
        <f t="shared" si="7"/>
        <v>0</v>
      </c>
      <c r="AF6" s="25">
        <f t="shared" si="8"/>
        <v>0</v>
      </c>
      <c r="AH6" s="25">
        <f t="shared" si="9"/>
        <v>0</v>
      </c>
      <c r="AI6" s="25">
        <f t="shared" si="9"/>
        <v>0</v>
      </c>
      <c r="AJ6" s="25">
        <f t="shared" si="9"/>
        <v>0</v>
      </c>
      <c r="AK6" s="25">
        <f t="shared" si="9"/>
        <v>0</v>
      </c>
      <c r="AL6" s="25">
        <f t="shared" si="9"/>
        <v>0</v>
      </c>
      <c r="AN6" s="25" t="str">
        <f>CONCATENATE("&lt;/Table&gt;&lt;TD width=420&gt;&lt;Table&gt;")</f>
        <v>&lt;/Table&gt;&lt;TD width=420&gt;&lt;Table&gt;</v>
      </c>
      <c r="AO6" s="25" t="str">
        <f>CONCATENATE("&lt;TR&gt;&lt;TD&gt;",A6,"&lt;TD width=200&gt;",B6,"&lt;TD&gt;",C6,"&lt;TD&gt;",D6,"&lt;TD&gt;",E6,"&lt;TD&gt;",F6,"&lt;TD&gt;",G6,"&lt;TD&gt;",H6,"&lt;/TD&gt;&lt;/TR&gt;")</f>
        <v>&lt;TR&gt;&lt;TD&gt;8&lt;TD width=200&gt;Kurdiovský Matěj (Tišnov)&lt;TD&gt;0:3&lt;TD&gt;XXX&lt;TD&gt;2:3&lt;TD&gt;&lt;TD&gt;2&lt;TD&gt;3&lt;/TD&gt;&lt;/TR&gt;</v>
      </c>
      <c r="AP6" s="25" t="str">
        <f>CONCATENATE("&lt;TR&gt;&lt;TD&gt;",J6,"&lt;TD&gt;",K6,"&lt;/TD&gt;&lt;/TR&gt;")</f>
        <v>&lt;TR&gt;&lt;TD&gt;bye - Havránek Ondřej&lt;TD&gt;&lt;/TD&gt;&lt;/TR&gt;</v>
      </c>
    </row>
    <row r="7" spans="1:42" ht="16.5" customHeight="1">
      <c r="A7" s="28">
        <v>6</v>
      </c>
      <c r="B7" s="34" t="str">
        <f>IF($A7="","",CONCATENATE(VLOOKUP($A7,seznam!$A$2:$B$268,2)," (",VLOOKUP($A7,seznam!$A$2:$E$269,4),")"))</f>
        <v>Havránek Ondřej (MS Brno)</v>
      </c>
      <c r="C7" s="38" t="str">
        <f>IF(Y9+Z9=0,"",CONCATENATE(Y9,":",Z9))</f>
        <v>1:3</v>
      </c>
      <c r="D7" s="29" t="str">
        <f>IF(Y5+Z5=0,"",CONCATENATE(Z5,":",Y5))</f>
        <v>3:2</v>
      </c>
      <c r="E7" s="29" t="s">
        <v>24</v>
      </c>
      <c r="F7" s="30">
        <f>IF(Y6+Z6=0,"",CONCATENATE(Z6,":",Y6))</f>
      </c>
      <c r="G7" s="36">
        <f>IF(AF5+AF6+AE9=0,"",AF5+AF6+AE9)</f>
        <v>3</v>
      </c>
      <c r="H7" s="30">
        <v>2</v>
      </c>
      <c r="J7" s="25" t="str">
        <f t="shared" si="0"/>
        <v>Nespěšný Hynek - Kurdiovský Matěj</v>
      </c>
      <c r="K7" s="25" t="str">
        <f t="shared" si="1"/>
        <v>3 : 0 (6,6,6)</v>
      </c>
      <c r="M7" s="25" t="s">
        <v>29</v>
      </c>
      <c r="N7" s="25">
        <f>A5</f>
        <v>1</v>
      </c>
      <c r="O7" s="25" t="str">
        <f>IF($N7=0,"bye",VLOOKUP($N7,seznam!$A$2:$C$268,2))</f>
        <v>Nespěšný Hynek</v>
      </c>
      <c r="P7" s="25" t="str">
        <f>IF($N7=0,"",VLOOKUP($N7,seznam!$A$2:$D$268,4))</f>
        <v>MS Brno</v>
      </c>
      <c r="Q7" s="25">
        <f>A6</f>
        <v>8</v>
      </c>
      <c r="R7" s="25" t="str">
        <f>IF($Q7=0,"bye",VLOOKUP($Q7,seznam!$A$2:$C$268,2))</f>
        <v>Kurdiovský Matěj</v>
      </c>
      <c r="S7" s="25" t="str">
        <f>IF($Q7=0,"",VLOOKUP($Q7,seznam!$A$2:$D$268,4))</f>
        <v>Tišnov</v>
      </c>
      <c r="T7" s="60" t="s">
        <v>96</v>
      </c>
      <c r="U7" s="61" t="s">
        <v>96</v>
      </c>
      <c r="V7" s="61" t="s">
        <v>96</v>
      </c>
      <c r="W7" s="61"/>
      <c r="X7" s="62"/>
      <c r="Y7" s="25">
        <f t="shared" si="2"/>
        <v>3</v>
      </c>
      <c r="Z7" s="25">
        <f t="shared" si="3"/>
        <v>0</v>
      </c>
      <c r="AA7" s="25">
        <f t="shared" si="4"/>
        <v>1</v>
      </c>
      <c r="AB7" s="25" t="str">
        <f>IF($AA7=0,"",VLOOKUP($AA7,seznam!$A$2:$C$268,2))</f>
        <v>Nespěšný Hynek</v>
      </c>
      <c r="AC7" s="25" t="str">
        <f t="shared" si="5"/>
        <v>3:0 (6,6,6)</v>
      </c>
      <c r="AD7" s="25" t="str">
        <f t="shared" si="6"/>
        <v>3:0 (6,6,6)</v>
      </c>
      <c r="AE7" s="25">
        <f t="shared" si="7"/>
        <v>2</v>
      </c>
      <c r="AF7" s="25">
        <f t="shared" si="8"/>
        <v>1</v>
      </c>
      <c r="AH7" s="25">
        <f t="shared" si="9"/>
        <v>1</v>
      </c>
      <c r="AI7" s="25">
        <f t="shared" si="9"/>
        <v>1</v>
      </c>
      <c r="AJ7" s="25">
        <f t="shared" si="9"/>
        <v>1</v>
      </c>
      <c r="AK7" s="25">
        <f t="shared" si="9"/>
        <v>0</v>
      </c>
      <c r="AL7" s="25">
        <f t="shared" si="9"/>
        <v>0</v>
      </c>
      <c r="AN7" s="25" t="str">
        <f>CONCATENATE(AP4,AP5,AP6,AP7,AP8,AP9,)</f>
        <v>&lt;TR&gt;&lt;TD width=250&gt;Nespěšný Hynek - bye&lt;TD&gt;&lt;/TD&gt;&lt;/TR&gt;&lt;TR&gt;&lt;TD&gt;Kurdiovský Matěj - Havránek Ondřej&lt;TD&gt;2 : 3 (7,-7,-9,10,-6)&lt;/TD&gt;&lt;/TR&gt;&lt;TR&gt;&lt;TD&gt;bye - Havránek Ondřej&lt;TD&gt;&lt;/TD&gt;&lt;/TR&gt;&lt;TR&gt;&lt;TD&gt;Nespěšný Hynek - Kurdiovský Matěj&lt;TD&gt;3 : 0 (6,6,6)&lt;/TD&gt;&lt;/TR&gt;&lt;TR&gt;&lt;TD&gt;Kurdiovský Matěj - bye&lt;TD&gt;&lt;/TD&gt;&lt;/TR&gt;&lt;TR&gt;&lt;TD&gt;Havránek Ondřej - Nespěšný Hynek&lt;TD&gt;1 : 3 (-5,-8,6,-5)&lt;/TD&gt;&lt;/TR&gt;</v>
      </c>
      <c r="AO7" s="25" t="str">
        <f>CONCATENATE("&lt;TR&gt;&lt;TD&gt;",A7,"&lt;TD width=200&gt;",B7,"&lt;TD&gt;",C7,"&lt;TD&gt;",D7,"&lt;TD&gt;",E7,"&lt;TD&gt;",F7,"&lt;TD&gt;",G7,"&lt;TD&gt;",H7,"&lt;/TD&gt;&lt;/TR&gt;")</f>
        <v>&lt;TR&gt;&lt;TD&gt;6&lt;TD width=200&gt;Havránek Ondřej (MS Brno)&lt;TD&gt;1:3&lt;TD&gt;3:2&lt;TD&gt;XXX&lt;TD&gt;&lt;TD&gt;3&lt;TD&gt;2&lt;/TD&gt;&lt;/TR&gt;</v>
      </c>
      <c r="AP7" s="25" t="str">
        <f>CONCATENATE("&lt;TR&gt;&lt;TD&gt;",J7,"&lt;TD&gt;",K7,"&lt;/TD&gt;&lt;/TR&gt;")</f>
        <v>&lt;TR&gt;&lt;TD&gt;Nespěšný Hynek - Kurdiovský Matěj&lt;TD&gt;3 : 0 (6,6,6)&lt;/TD&gt;&lt;/TR&gt;</v>
      </c>
    </row>
    <row r="8" spans="1:42" ht="16.5" customHeight="1" thickBot="1">
      <c r="A8" s="31"/>
      <c r="B8" s="35">
        <f>IF($A8="","",CONCATENATE(VLOOKUP($A8,seznam!$A$2:$B$268,2)," (",VLOOKUP($A8,seznam!$A$2:$E$269,4),")"))</f>
      </c>
      <c r="C8" s="39">
        <f>IF(Y4+Z4=0,"",CONCATENATE(Z4,":",Y4))</f>
      </c>
      <c r="D8" s="32">
        <f>IF(Y8+Z8=0,"",CONCATENATE(Z8,":",Y8))</f>
      </c>
      <c r="E8" s="32">
        <f>IF(Y6+Z6=0,"",CONCATENATE(Y6,":",Z6))</f>
      </c>
      <c r="F8" s="33" t="s">
        <v>24</v>
      </c>
      <c r="G8" s="37">
        <f>IF(AF4+AE6+AF8=0,"",AF4+AE6+AF8)</f>
      </c>
      <c r="H8" s="33"/>
      <c r="J8" s="25" t="str">
        <f t="shared" si="0"/>
        <v>Kurdiovský Matěj - bye</v>
      </c>
      <c r="K8" s="25">
        <f t="shared" si="1"/>
      </c>
      <c r="M8" s="25" t="s">
        <v>30</v>
      </c>
      <c r="N8" s="25">
        <f>A6</f>
        <v>8</v>
      </c>
      <c r="O8" s="25" t="str">
        <f>IF($N8=0,"bye",VLOOKUP($N8,seznam!$A$2:$C$268,2))</f>
        <v>Kurdiovský Matěj</v>
      </c>
      <c r="P8" s="25" t="str">
        <f>IF($N8=0,"",VLOOKUP($N8,seznam!$A$2:$D$268,4))</f>
        <v>Tišnov</v>
      </c>
      <c r="Q8" s="25">
        <f>A8</f>
        <v>0</v>
      </c>
      <c r="R8" s="25" t="str">
        <f>IF($Q8=0,"bye",VLOOKUP($Q8,seznam!$A$2:$C$268,2))</f>
        <v>bye</v>
      </c>
      <c r="S8" s="25">
        <f>IF($Q8=0,"",VLOOKUP($Q8,seznam!$A$2:$D$268,4))</f>
      </c>
      <c r="T8" s="60"/>
      <c r="U8" s="61"/>
      <c r="V8" s="61"/>
      <c r="W8" s="61"/>
      <c r="X8" s="62"/>
      <c r="Y8" s="25">
        <f t="shared" si="2"/>
        <v>0</v>
      </c>
      <c r="Z8" s="25">
        <f t="shared" si="3"/>
        <v>0</v>
      </c>
      <c r="AA8" s="25">
        <f t="shared" si="4"/>
        <v>0</v>
      </c>
      <c r="AB8" s="25">
        <f>IF($AA8=0,"",VLOOKUP($AA8,seznam!$A$2:$C$268,2))</f>
      </c>
      <c r="AC8" s="25">
        <f t="shared" si="5"/>
      </c>
      <c r="AD8" s="25">
        <f t="shared" si="6"/>
      </c>
      <c r="AE8" s="25">
        <f t="shared" si="7"/>
        <v>0</v>
      </c>
      <c r="AF8" s="25">
        <f t="shared" si="8"/>
        <v>0</v>
      </c>
      <c r="AH8" s="25">
        <f t="shared" si="9"/>
        <v>0</v>
      </c>
      <c r="AI8" s="25">
        <f t="shared" si="9"/>
        <v>0</v>
      </c>
      <c r="AJ8" s="25">
        <f t="shared" si="9"/>
        <v>0</v>
      </c>
      <c r="AK8" s="25">
        <f t="shared" si="9"/>
        <v>0</v>
      </c>
      <c r="AL8" s="25">
        <f t="shared" si="9"/>
        <v>0</v>
      </c>
      <c r="AN8" s="25" t="str">
        <f>CONCATENATE("&lt;/Table&gt;&lt;/TD&gt;&lt;/TR&gt;&lt;/Table&gt;&lt;P&gt;")</f>
        <v>&lt;/Table&gt;&lt;/TD&gt;&lt;/TR&gt;&lt;/Table&gt;&lt;P&gt;</v>
      </c>
      <c r="AO8" s="25" t="str">
        <f>CONCATENATE("&lt;TR&gt;&lt;TD&gt;",A8,"&lt;TD width=200&gt;",B8,"&lt;TD&gt;",C8,"&lt;TD&gt;",D8,"&lt;TD&gt;",E8,"&lt;TD&gt;",F8,"&lt;TD&gt;",G8,"&lt;TD&gt;",H8,"&lt;/TD&gt;&lt;/TR&gt;")</f>
        <v>&lt;TR&gt;&lt;TD&gt;&lt;TD width=200&gt;&lt;TD&gt;&lt;TD&gt;&lt;TD&gt;&lt;TD&gt;XXX&lt;TD&gt;&lt;TD&gt;&lt;/TD&gt;&lt;/TR&gt;</v>
      </c>
      <c r="AP8" s="25" t="str">
        <f>CONCATENATE("&lt;TR&gt;&lt;TD&gt;",J8,"&lt;TD&gt;",K8,"&lt;/TD&gt;&lt;/TR&gt;")</f>
        <v>&lt;TR&gt;&lt;TD&gt;Kurdiovský Matěj - bye&lt;TD&gt;&lt;/TD&gt;&lt;/TR&gt;</v>
      </c>
    </row>
    <row r="9" spans="10:42" ht="16.5" customHeight="1" thickBot="1" thickTop="1">
      <c r="J9" s="25" t="str">
        <f t="shared" si="0"/>
        <v>Havránek Ondřej - Nespěšný Hynek</v>
      </c>
      <c r="K9" s="25" t="str">
        <f t="shared" si="1"/>
        <v>1 : 3 (-5,-8,6,-5)</v>
      </c>
      <c r="M9" s="25" t="s">
        <v>31</v>
      </c>
      <c r="N9" s="25">
        <f>A7</f>
        <v>6</v>
      </c>
      <c r="O9" s="25" t="str">
        <f>IF($N9=0,"bye",VLOOKUP($N9,seznam!$A$2:$C$268,2))</f>
        <v>Havránek Ondřej</v>
      </c>
      <c r="P9" s="25" t="str">
        <f>IF($N9=0,"",VLOOKUP($N9,seznam!$A$2:$D$268,4))</f>
        <v>MS Brno</v>
      </c>
      <c r="Q9" s="25">
        <f>A5</f>
        <v>1</v>
      </c>
      <c r="R9" s="25" t="str">
        <f>IF($Q9=0,"bye",VLOOKUP($Q9,seznam!$A$2:$C$268,2))</f>
        <v>Nespěšný Hynek</v>
      </c>
      <c r="S9" s="25" t="str">
        <f>IF($Q9=0,"",VLOOKUP($Q9,seznam!$A$2:$D$268,4))</f>
        <v>MS Brno</v>
      </c>
      <c r="T9" s="63" t="s">
        <v>109</v>
      </c>
      <c r="U9" s="64" t="s">
        <v>114</v>
      </c>
      <c r="V9" s="64" t="s">
        <v>96</v>
      </c>
      <c r="W9" s="64" t="s">
        <v>109</v>
      </c>
      <c r="X9" s="65"/>
      <c r="Y9" s="25">
        <f t="shared" si="2"/>
        <v>1</v>
      </c>
      <c r="Z9" s="25">
        <f t="shared" si="3"/>
        <v>3</v>
      </c>
      <c r="AA9" s="25">
        <f t="shared" si="4"/>
        <v>1</v>
      </c>
      <c r="AB9" s="25" t="str">
        <f>IF($AA9=0,"",VLOOKUP($AA9,seznam!$A$2:$C$268,2))</f>
        <v>Nespěšný Hynek</v>
      </c>
      <c r="AC9" s="25" t="str">
        <f t="shared" si="5"/>
        <v>3:1 (5,8,-6,5)</v>
      </c>
      <c r="AD9" s="25" t="str">
        <f t="shared" si="6"/>
        <v>3:1 (5,8,-6,5)</v>
      </c>
      <c r="AE9" s="25">
        <f t="shared" si="7"/>
        <v>1</v>
      </c>
      <c r="AF9" s="25">
        <f t="shared" si="8"/>
        <v>2</v>
      </c>
      <c r="AH9" s="25">
        <f t="shared" si="9"/>
        <v>-1</v>
      </c>
      <c r="AI9" s="25">
        <f t="shared" si="9"/>
        <v>-1</v>
      </c>
      <c r="AJ9" s="25">
        <f t="shared" si="9"/>
        <v>1</v>
      </c>
      <c r="AK9" s="25">
        <f t="shared" si="9"/>
        <v>-1</v>
      </c>
      <c r="AL9" s="25">
        <f t="shared" si="9"/>
        <v>0</v>
      </c>
      <c r="AP9" s="25" t="str">
        <f>CONCATENATE("&lt;TR&gt;&lt;TD&gt;",J9,"&lt;TD&gt;",K9,"&lt;/TD&gt;&lt;/TR&gt;")</f>
        <v>&lt;TR&gt;&lt;TD&gt;Havránek Ondřej - Nespěšný Hynek&lt;TD&gt;1 : 3 (-5,-8,6,-5)&lt;/TD&gt;&lt;/TR&gt;</v>
      </c>
    </row>
    <row r="10" spans="13:40" ht="16.5" customHeight="1" thickBot="1" thickTop="1">
      <c r="M10" s="26" t="str">
        <f>B11</f>
        <v>Skupina B</v>
      </c>
      <c r="N10" s="26" t="s">
        <v>0</v>
      </c>
      <c r="O10" s="26" t="s">
        <v>1</v>
      </c>
      <c r="P10" s="26" t="s">
        <v>2</v>
      </c>
      <c r="Q10" s="26" t="s">
        <v>0</v>
      </c>
      <c r="R10" s="26" t="s">
        <v>3</v>
      </c>
      <c r="S10" s="26" t="s">
        <v>2</v>
      </c>
      <c r="T10" s="27" t="s">
        <v>4</v>
      </c>
      <c r="U10" s="27" t="s">
        <v>5</v>
      </c>
      <c r="V10" s="27" t="s">
        <v>6</v>
      </c>
      <c r="W10" s="27" t="s">
        <v>7</v>
      </c>
      <c r="X10" s="27" t="s">
        <v>8</v>
      </c>
      <c r="Y10" s="26" t="s">
        <v>9</v>
      </c>
      <c r="Z10" s="26" t="s">
        <v>10</v>
      </c>
      <c r="AA10" s="26" t="s">
        <v>11</v>
      </c>
      <c r="AN10" s="25" t="s">
        <v>18</v>
      </c>
    </row>
    <row r="11" spans="1:42" ht="16.5" customHeight="1" thickBot="1" thickTop="1">
      <c r="A11" s="46"/>
      <c r="B11" s="47" t="s">
        <v>21</v>
      </c>
      <c r="C11" s="48">
        <v>1</v>
      </c>
      <c r="D11" s="49">
        <v>2</v>
      </c>
      <c r="E11" s="49">
        <v>3</v>
      </c>
      <c r="F11" s="50">
        <v>4</v>
      </c>
      <c r="G11" s="51" t="s">
        <v>16</v>
      </c>
      <c r="H11" s="50" t="s">
        <v>17</v>
      </c>
      <c r="J11" s="25" t="str">
        <f aca="true" t="shared" si="10" ref="J11:J16">CONCATENATE(O11," - ",R11)</f>
        <v>Luska Petr - Huták Ondřej</v>
      </c>
      <c r="K11" s="25" t="str">
        <f aca="true" t="shared" si="11" ref="K11:K16">IF(SUM(Y11:Z11)=0,AD11,CONCATENATE(Y11," : ",Z11," (",T11,",",U11,",",V11,IF(Y11+Z11&gt;3,",",""),W11,IF(Y11+Z11&gt;4,",",""),X11,")"))</f>
        <v>3 : 0 (8,9,6)</v>
      </c>
      <c r="M11" s="25" t="s">
        <v>32</v>
      </c>
      <c r="N11" s="25">
        <f>A12</f>
        <v>2</v>
      </c>
      <c r="O11" s="25" t="str">
        <f>IF($N11=0,"bye",VLOOKUP($N11,seznam!$A$2:$C$268,2))</f>
        <v>Luska Petr</v>
      </c>
      <c r="P11" s="25" t="str">
        <f>IF($N11=0,"",VLOOKUP($N11,seznam!$A$2:$D$268,4))</f>
        <v>KST Vyškov</v>
      </c>
      <c r="Q11" s="25">
        <f>A15</f>
        <v>13</v>
      </c>
      <c r="R11" s="25" t="str">
        <f>IF($Q11=0,"bye",VLOOKUP($Q11,seznam!$A$2:$C$268,2))</f>
        <v>Huták Ondřej</v>
      </c>
      <c r="S11" s="25" t="str">
        <f>IF($Q11=0,"",VLOOKUP($Q11,seznam!$A$2:$D$268,4))</f>
        <v>Klobouky u Brna</v>
      </c>
      <c r="T11" s="57" t="s">
        <v>94</v>
      </c>
      <c r="U11" s="58" t="s">
        <v>101</v>
      </c>
      <c r="V11" s="58" t="s">
        <v>96</v>
      </c>
      <c r="W11" s="58"/>
      <c r="X11" s="59"/>
      <c r="Y11" s="25">
        <f aca="true" t="shared" si="12" ref="Y11:Y16">COUNTIF(AH11:AL11,"&gt;0")</f>
        <v>3</v>
      </c>
      <c r="Z11" s="25">
        <f aca="true" t="shared" si="13" ref="Z11:Z16">COUNTIF(AH11:AL11,"&lt;0")</f>
        <v>0</v>
      </c>
      <c r="AA11" s="25">
        <f aca="true" t="shared" si="14" ref="AA11:AA16">IF(Y11=Z11,0,IF(Y11&gt;Z11,N11,Q11))</f>
        <v>2</v>
      </c>
      <c r="AB11" s="25" t="str">
        <f>IF($AA11=0,"",VLOOKUP($AA11,seznam!$A$2:$C$268,2))</f>
        <v>Luska Petr</v>
      </c>
      <c r="AC11" s="25" t="str">
        <f aca="true" t="shared" si="15" ref="AC11:AC16">IF(Y11=Z11,"",IF(Y11&gt;Z11,CONCATENATE(Y11,":",Z11," (",T11,",",U11,",",V11,IF(SUM(Y11:Z11)&gt;3,",",""),W11,IF(SUM(Y11:Z11)&gt;4,",",""),X11,")"),CONCATENATE(Z11,":",Y11," (",-T11,",",-U11,",",-V11,IF(SUM(Y11:Z11)&gt;3,CONCATENATE(",",-W11),""),IF(SUM(Y11:Z11)&gt;4,CONCATENATE(",",-X11),""),")")))</f>
        <v>3:0 (8,9,6)</v>
      </c>
      <c r="AD11" s="25" t="str">
        <f aca="true" t="shared" si="16" ref="AD11:AD16">IF(SUM(Y11:Z11)=0,"",AC11)</f>
        <v>3:0 (8,9,6)</v>
      </c>
      <c r="AE11" s="25">
        <f aca="true" t="shared" si="17" ref="AE11:AE16">IF(T11="",0,IF(Y11&gt;Z11,2,1))</f>
        <v>2</v>
      </c>
      <c r="AF11" s="25">
        <f aca="true" t="shared" si="18" ref="AF11:AF16">IF(T11="",0,IF(Z11&gt;Y11,2,1))</f>
        <v>1</v>
      </c>
      <c r="AH11" s="25">
        <f aca="true" t="shared" si="19" ref="AH11:AL16">IF(T11="",0,IF(MID(T11,1,1)="-",-1,1))</f>
        <v>1</v>
      </c>
      <c r="AI11" s="25">
        <f t="shared" si="19"/>
        <v>1</v>
      </c>
      <c r="AJ11" s="25">
        <f t="shared" si="19"/>
        <v>1</v>
      </c>
      <c r="AK11" s="25">
        <f t="shared" si="19"/>
        <v>0</v>
      </c>
      <c r="AL11" s="25">
        <f t="shared" si="19"/>
        <v>0</v>
      </c>
      <c r="AN11" s="25" t="str">
        <f>CONCATENATE("&lt;Table border=1 cellpading=0 cellspacing=0 width=480&gt;&lt;TR&gt;&lt;TH colspan=2&gt;",B11,"&lt;TH&gt;1&lt;TH&gt;2&lt;TH&gt;3&lt;TH&gt;4&lt;TH&gt;Body&lt;TH&gt;Pořadí&lt;/TH&gt;&lt;/TR&gt;")</f>
        <v>&lt;Table border=1 cellpading=0 cellspacing=0 width=480&gt;&lt;TR&gt;&lt;TH colspan=2&gt;Skupina B&lt;TH&gt;1&lt;TH&gt;2&lt;TH&gt;3&lt;TH&gt;4&lt;TH&gt;Body&lt;TH&gt;Pořadí&lt;/TH&gt;&lt;/TR&gt;</v>
      </c>
      <c r="AP11" s="25" t="str">
        <f>CONCATENATE("&lt;TR&gt;&lt;TD width=250&gt;",J11,"&lt;TD&gt;",K11,"&lt;/TD&gt;&lt;/TR&gt;")</f>
        <v>&lt;TR&gt;&lt;TD width=250&gt;Luska Petr - Huták Ondřej&lt;TD&gt;3 : 0 (8,9,6)&lt;/TD&gt;&lt;/TR&gt;</v>
      </c>
    </row>
    <row r="12" spans="1:42" ht="16.5" customHeight="1" thickTop="1">
      <c r="A12" s="40">
        <v>2</v>
      </c>
      <c r="B12" s="41" t="str">
        <f>IF($A12="","",CONCATENATE(VLOOKUP($A12,seznam!$A$2:$B$268,2)," (",VLOOKUP($A12,seznam!$A$2:$E$269,4),")"))</f>
        <v>Luska Petr (KST Vyškov)</v>
      </c>
      <c r="C12" s="42" t="s">
        <v>24</v>
      </c>
      <c r="D12" s="43" t="str">
        <f>IF(Y14+Z14=0,"",CONCATENATE(Y14,":",Z14))</f>
        <v>3:0</v>
      </c>
      <c r="E12" s="43" t="str">
        <f>IF(Y16+Z16=0,"",CONCATENATE(Z16,":",Y16))</f>
        <v>2:3</v>
      </c>
      <c r="F12" s="44" t="str">
        <f>IF(Y11+Z11=0,"",CONCATENATE(Y11,":",Z11))</f>
        <v>3:0</v>
      </c>
      <c r="G12" s="45">
        <f>IF(AE11+AE14+AF16=0,"",AE11+AE14+AF16)</f>
        <v>5</v>
      </c>
      <c r="H12" s="44">
        <v>1</v>
      </c>
      <c r="J12" s="25" t="str">
        <f t="shared" si="10"/>
        <v>Šimeček Robin - Horníček Lukáš</v>
      </c>
      <c r="K12" s="25" t="str">
        <f t="shared" si="11"/>
        <v>0 : 3 (-5,-2,-8)</v>
      </c>
      <c r="M12" s="25" t="s">
        <v>33</v>
      </c>
      <c r="N12" s="25">
        <f>A13</f>
        <v>10</v>
      </c>
      <c r="O12" s="25" t="str">
        <f>IF($N12=0,"bye",VLOOKUP($N12,seznam!$A$2:$C$268,2))</f>
        <v>Šimeček Robin</v>
      </c>
      <c r="P12" s="25" t="str">
        <f>IF($N12=0,"",VLOOKUP($N12,seznam!$A$2:$D$268,4))</f>
        <v>TJ Holásky</v>
      </c>
      <c r="Q12" s="25">
        <f>A14</f>
        <v>5</v>
      </c>
      <c r="R12" s="25" t="str">
        <f>IF($Q12=0,"bye",VLOOKUP($Q12,seznam!$A$2:$C$268,2))</f>
        <v>Horníček Lukáš</v>
      </c>
      <c r="S12" s="25" t="str">
        <f>IF($Q12=0,"",VLOOKUP($Q12,seznam!$A$2:$D$268,4))</f>
        <v>MS Brno</v>
      </c>
      <c r="T12" s="60" t="s">
        <v>109</v>
      </c>
      <c r="U12" s="61" t="s">
        <v>106</v>
      </c>
      <c r="V12" s="61" t="s">
        <v>114</v>
      </c>
      <c r="W12" s="61"/>
      <c r="X12" s="62"/>
      <c r="Y12" s="25">
        <f t="shared" si="12"/>
        <v>0</v>
      </c>
      <c r="Z12" s="25">
        <f t="shared" si="13"/>
        <v>3</v>
      </c>
      <c r="AA12" s="25">
        <f t="shared" si="14"/>
        <v>5</v>
      </c>
      <c r="AB12" s="25" t="str">
        <f>IF($AA12=0,"",VLOOKUP($AA12,seznam!$A$2:$C$268,2))</f>
        <v>Horníček Lukáš</v>
      </c>
      <c r="AC12" s="25" t="str">
        <f t="shared" si="15"/>
        <v>3:0 (5,2,8)</v>
      </c>
      <c r="AD12" s="25" t="str">
        <f t="shared" si="16"/>
        <v>3:0 (5,2,8)</v>
      </c>
      <c r="AE12" s="25">
        <f t="shared" si="17"/>
        <v>1</v>
      </c>
      <c r="AF12" s="25">
        <f t="shared" si="18"/>
        <v>2</v>
      </c>
      <c r="AH12" s="25">
        <f t="shared" si="19"/>
        <v>-1</v>
      </c>
      <c r="AI12" s="25">
        <f t="shared" si="19"/>
        <v>-1</v>
      </c>
      <c r="AJ12" s="25">
        <f t="shared" si="19"/>
        <v>-1</v>
      </c>
      <c r="AK12" s="25">
        <f t="shared" si="19"/>
        <v>0</v>
      </c>
      <c r="AL12" s="25">
        <f t="shared" si="19"/>
        <v>0</v>
      </c>
      <c r="AN12" s="25" t="str">
        <f>CONCATENATE(AO12,AO13,AO14,AO15,)</f>
        <v>&lt;TR&gt;&lt;TD&gt;2&lt;TD width=200&gt;Luska Petr (KST Vyškov)&lt;TD&gt;XXX&lt;TD&gt;3:0&lt;TD&gt;2:3&lt;TD&gt;3:0&lt;TD&gt;5&lt;TD&gt;1&lt;/TD&gt;&lt;/TR&gt;&lt;TR&gt;&lt;TD&gt;10&lt;TD width=200&gt;Šimeček Robin (TJ Holásky)&lt;TD&gt;0:3&lt;TD&gt;XXX&lt;TD&gt;0:3&lt;TD&gt;0:3&lt;TD&gt;3&lt;TD&gt;4&lt;/TD&gt;&lt;/TR&gt;&lt;TR&gt;&lt;TD&gt;5&lt;TD width=200&gt;Horníček Lukáš (MS Brno)&lt;TD&gt;3:2&lt;TD&gt;3:0&lt;TD&gt;XXX&lt;TD&gt;1:3&lt;TD&gt;5&lt;TD&gt;2&lt;/TD&gt;&lt;/TR&gt;&lt;TR&gt;&lt;TD&gt;13&lt;TD width=200&gt;Huták Ondřej (Klobouky u Brna)&lt;TD&gt;0:3&lt;TD&gt;3:0&lt;TD&gt;3:1&lt;TD&gt;XXX&lt;TD&gt;5&lt;TD&gt;3&lt;/TD&gt;&lt;/TR&gt;</v>
      </c>
      <c r="AO12" s="25" t="str">
        <f>CONCATENATE("&lt;TR&gt;&lt;TD&gt;",A12,"&lt;TD width=200&gt;",B12,"&lt;TD&gt;",C12,"&lt;TD&gt;",D12,"&lt;TD&gt;",E12,"&lt;TD&gt;",F12,"&lt;TD&gt;",G12,"&lt;TD&gt;",H12,"&lt;/TD&gt;&lt;/TR&gt;")</f>
        <v>&lt;TR&gt;&lt;TD&gt;2&lt;TD width=200&gt;Luska Petr (KST Vyškov)&lt;TD&gt;XXX&lt;TD&gt;3:0&lt;TD&gt;2:3&lt;TD&gt;3:0&lt;TD&gt;5&lt;TD&gt;1&lt;/TD&gt;&lt;/TR&gt;</v>
      </c>
      <c r="AP12" s="25" t="str">
        <f>CONCATENATE("&lt;TR&gt;&lt;TD&gt;",J12,"&lt;TD&gt;",K12,"&lt;/TD&gt;&lt;/TR&gt;")</f>
        <v>&lt;TR&gt;&lt;TD&gt;Šimeček Robin - Horníček Lukáš&lt;TD&gt;0 : 3 (-5,-2,-8)&lt;/TD&gt;&lt;/TR&gt;</v>
      </c>
    </row>
    <row r="13" spans="1:42" ht="16.5" customHeight="1">
      <c r="A13" s="28">
        <v>10</v>
      </c>
      <c r="B13" s="34" t="str">
        <f>IF($A13="","",CONCATENATE(VLOOKUP($A13,seznam!$A$2:$B$268,2)," (",VLOOKUP($A13,seznam!$A$2:$E$269,4),")"))</f>
        <v>Šimeček Robin (TJ Holásky)</v>
      </c>
      <c r="C13" s="38" t="str">
        <f>IF(Y14+Z14=0,"",CONCATENATE(Z14,":",Y14))</f>
        <v>0:3</v>
      </c>
      <c r="D13" s="29" t="s">
        <v>24</v>
      </c>
      <c r="E13" s="29" t="str">
        <f>IF(Y12+Z12=0,"",CONCATENATE(Y12,":",Z12))</f>
        <v>0:3</v>
      </c>
      <c r="F13" s="30" t="str">
        <f>IF(Y15+Z15=0,"",CONCATENATE(Y15,":",Z15))</f>
        <v>0:3</v>
      </c>
      <c r="G13" s="36">
        <f>IF(AE12+AF14+AE15=0,"",AE12+AF14+AE15)</f>
        <v>3</v>
      </c>
      <c r="H13" s="30">
        <v>4</v>
      </c>
      <c r="J13" s="25" t="str">
        <f t="shared" si="10"/>
        <v>Huták Ondřej - Horníček Lukáš</v>
      </c>
      <c r="K13" s="25" t="str">
        <f t="shared" si="11"/>
        <v>3 : 1 (6,-8,5,5)</v>
      </c>
      <c r="M13" s="25" t="s">
        <v>34</v>
      </c>
      <c r="N13" s="25">
        <f>A15</f>
        <v>13</v>
      </c>
      <c r="O13" s="25" t="str">
        <f>IF($N13=0,"bye",VLOOKUP($N13,seznam!$A$2:$C$268,2))</f>
        <v>Huták Ondřej</v>
      </c>
      <c r="P13" s="25" t="str">
        <f>IF($N13=0,"",VLOOKUP($N13,seznam!$A$2:$D$268,4))</f>
        <v>Klobouky u Brna</v>
      </c>
      <c r="Q13" s="25">
        <f>A14</f>
        <v>5</v>
      </c>
      <c r="R13" s="25" t="str">
        <f>IF($Q13=0,"bye",VLOOKUP($Q13,seznam!$A$2:$C$268,2))</f>
        <v>Horníček Lukáš</v>
      </c>
      <c r="S13" s="25" t="str">
        <f>IF($Q13=0,"",VLOOKUP($Q13,seznam!$A$2:$D$268,4))</f>
        <v>MS Brno</v>
      </c>
      <c r="T13" s="60" t="s">
        <v>96</v>
      </c>
      <c r="U13" s="61" t="s">
        <v>114</v>
      </c>
      <c r="V13" s="61" t="s">
        <v>98</v>
      </c>
      <c r="W13" s="61" t="s">
        <v>98</v>
      </c>
      <c r="X13" s="62"/>
      <c r="Y13" s="25">
        <f t="shared" si="12"/>
        <v>3</v>
      </c>
      <c r="Z13" s="25">
        <f t="shared" si="13"/>
        <v>1</v>
      </c>
      <c r="AA13" s="25">
        <f t="shared" si="14"/>
        <v>13</v>
      </c>
      <c r="AB13" s="25" t="str">
        <f>IF($AA13=0,"",VLOOKUP($AA13,seznam!$A$2:$C$268,2))</f>
        <v>Huták Ondřej</v>
      </c>
      <c r="AC13" s="25" t="str">
        <f t="shared" si="15"/>
        <v>3:1 (6,-8,5,5)</v>
      </c>
      <c r="AD13" s="25" t="str">
        <f t="shared" si="16"/>
        <v>3:1 (6,-8,5,5)</v>
      </c>
      <c r="AE13" s="25">
        <f t="shared" si="17"/>
        <v>2</v>
      </c>
      <c r="AF13" s="25">
        <f t="shared" si="18"/>
        <v>1</v>
      </c>
      <c r="AH13" s="25">
        <f t="shared" si="19"/>
        <v>1</v>
      </c>
      <c r="AI13" s="25">
        <f t="shared" si="19"/>
        <v>-1</v>
      </c>
      <c r="AJ13" s="25">
        <f t="shared" si="19"/>
        <v>1</v>
      </c>
      <c r="AK13" s="25">
        <f t="shared" si="19"/>
        <v>1</v>
      </c>
      <c r="AL13" s="25">
        <f t="shared" si="19"/>
        <v>0</v>
      </c>
      <c r="AN13" s="25" t="str">
        <f>CONCATENATE("&lt;/Table&gt;&lt;TD width=420&gt;&lt;Table&gt;")</f>
        <v>&lt;/Table&gt;&lt;TD width=420&gt;&lt;Table&gt;</v>
      </c>
      <c r="AO13" s="25" t="str">
        <f>CONCATENATE("&lt;TR&gt;&lt;TD&gt;",A13,"&lt;TD width=200&gt;",B13,"&lt;TD&gt;",C13,"&lt;TD&gt;",D13,"&lt;TD&gt;",E13,"&lt;TD&gt;",F13,"&lt;TD&gt;",G13,"&lt;TD&gt;",H13,"&lt;/TD&gt;&lt;/TR&gt;")</f>
        <v>&lt;TR&gt;&lt;TD&gt;10&lt;TD width=200&gt;Šimeček Robin (TJ Holásky)&lt;TD&gt;0:3&lt;TD&gt;XXX&lt;TD&gt;0:3&lt;TD&gt;0:3&lt;TD&gt;3&lt;TD&gt;4&lt;/TD&gt;&lt;/TR&gt;</v>
      </c>
      <c r="AP13" s="25" t="str">
        <f>CONCATENATE("&lt;TR&gt;&lt;TD&gt;",J13,"&lt;TD&gt;",K13,"&lt;/TD&gt;&lt;/TR&gt;")</f>
        <v>&lt;TR&gt;&lt;TD&gt;Huták Ondřej - Horníček Lukáš&lt;TD&gt;3 : 1 (6,-8,5,5)&lt;/TD&gt;&lt;/TR&gt;</v>
      </c>
    </row>
    <row r="14" spans="1:42" ht="16.5" customHeight="1">
      <c r="A14" s="28">
        <v>5</v>
      </c>
      <c r="B14" s="34" t="str">
        <f>IF($A14="","",CONCATENATE(VLOOKUP($A14,seznam!$A$2:$B$268,2)," (",VLOOKUP($A14,seznam!$A$2:$E$269,4),")"))</f>
        <v>Horníček Lukáš (MS Brno)</v>
      </c>
      <c r="C14" s="38" t="str">
        <f>IF(Y16+Z16=0,"",CONCATENATE(Y16,":",Z16))</f>
        <v>3:2</v>
      </c>
      <c r="D14" s="29" t="str">
        <f>IF(Y12+Z12=0,"",CONCATENATE(Z12,":",Y12))</f>
        <v>3:0</v>
      </c>
      <c r="E14" s="29" t="s">
        <v>24</v>
      </c>
      <c r="F14" s="30" t="str">
        <f>IF(Y13+Z13=0,"",CONCATENATE(Z13,":",Y13))</f>
        <v>1:3</v>
      </c>
      <c r="G14" s="36">
        <f>IF(AF12+AF13+AE16=0,"",AF12+AF13+AE16)</f>
        <v>5</v>
      </c>
      <c r="H14" s="30">
        <v>2</v>
      </c>
      <c r="J14" s="25" t="str">
        <f t="shared" si="10"/>
        <v>Luska Petr - Šimeček Robin</v>
      </c>
      <c r="K14" s="25" t="str">
        <f t="shared" si="11"/>
        <v>3 : 0 (8,4,7)</v>
      </c>
      <c r="M14" s="25" t="s">
        <v>35</v>
      </c>
      <c r="N14" s="25">
        <f>A12</f>
        <v>2</v>
      </c>
      <c r="O14" s="25" t="str">
        <f>IF($N14=0,"bye",VLOOKUP($N14,seznam!$A$2:$C$268,2))</f>
        <v>Luska Petr</v>
      </c>
      <c r="P14" s="25" t="str">
        <f>IF($N14=0,"",VLOOKUP($N14,seznam!$A$2:$D$268,4))</f>
        <v>KST Vyškov</v>
      </c>
      <c r="Q14" s="25">
        <f>A13</f>
        <v>10</v>
      </c>
      <c r="R14" s="25" t="str">
        <f>IF($Q14=0,"bye",VLOOKUP($Q14,seznam!$A$2:$C$268,2))</f>
        <v>Šimeček Robin</v>
      </c>
      <c r="S14" s="25" t="str">
        <f>IF($Q14=0,"",VLOOKUP($Q14,seznam!$A$2:$D$268,4))</f>
        <v>TJ Holásky</v>
      </c>
      <c r="T14" s="60" t="s">
        <v>94</v>
      </c>
      <c r="U14" s="61" t="s">
        <v>105</v>
      </c>
      <c r="V14" s="61" t="s">
        <v>100</v>
      </c>
      <c r="W14" s="61"/>
      <c r="X14" s="62"/>
      <c r="Y14" s="25">
        <f t="shared" si="12"/>
        <v>3</v>
      </c>
      <c r="Z14" s="25">
        <f t="shared" si="13"/>
        <v>0</v>
      </c>
      <c r="AA14" s="25">
        <f t="shared" si="14"/>
        <v>2</v>
      </c>
      <c r="AB14" s="25" t="str">
        <f>IF($AA14=0,"",VLOOKUP($AA14,seznam!$A$2:$C$268,2))</f>
        <v>Luska Petr</v>
      </c>
      <c r="AC14" s="25" t="str">
        <f t="shared" si="15"/>
        <v>3:0 (8,4,7)</v>
      </c>
      <c r="AD14" s="25" t="str">
        <f t="shared" si="16"/>
        <v>3:0 (8,4,7)</v>
      </c>
      <c r="AE14" s="25">
        <f t="shared" si="17"/>
        <v>2</v>
      </c>
      <c r="AF14" s="25">
        <f t="shared" si="18"/>
        <v>1</v>
      </c>
      <c r="AH14" s="25">
        <f t="shared" si="19"/>
        <v>1</v>
      </c>
      <c r="AI14" s="25">
        <f t="shared" si="19"/>
        <v>1</v>
      </c>
      <c r="AJ14" s="25">
        <f t="shared" si="19"/>
        <v>1</v>
      </c>
      <c r="AK14" s="25">
        <f t="shared" si="19"/>
        <v>0</v>
      </c>
      <c r="AL14" s="25">
        <f t="shared" si="19"/>
        <v>0</v>
      </c>
      <c r="AN14" s="25" t="str">
        <f>CONCATENATE(AP11,AP12,AP13,AP14,AP15,AP16,)</f>
        <v>&lt;TR&gt;&lt;TD width=250&gt;Luska Petr - Huták Ondřej&lt;TD&gt;3 : 0 (8,9,6)&lt;/TD&gt;&lt;/TR&gt;&lt;TR&gt;&lt;TD&gt;Šimeček Robin - Horníček Lukáš&lt;TD&gt;0 : 3 (-5,-2,-8)&lt;/TD&gt;&lt;/TR&gt;&lt;TR&gt;&lt;TD&gt;Huták Ondřej - Horníček Lukáš&lt;TD&gt;3 : 1 (6,-8,5,5)&lt;/TD&gt;&lt;/TR&gt;&lt;TR&gt;&lt;TD&gt;Luska Petr - Šimeček Robin&lt;TD&gt;3 : 0 (8,4,7)&lt;/TD&gt;&lt;/TR&gt;&lt;TR&gt;&lt;TD&gt;Šimeček Robin - Huták Ondřej&lt;TD&gt;0 : 3 (-5,-4,-7)&lt;/TD&gt;&lt;/TR&gt;&lt;TR&gt;&lt;TD&gt;Horníček Lukáš - Luska Petr&lt;TD&gt;3 : 2 (-13,-6,6,6,8)&lt;/TD&gt;&lt;/TR&gt;</v>
      </c>
      <c r="AO14" s="25" t="str">
        <f>CONCATENATE("&lt;TR&gt;&lt;TD&gt;",A14,"&lt;TD width=200&gt;",B14,"&lt;TD&gt;",C14,"&lt;TD&gt;",D14,"&lt;TD&gt;",E14,"&lt;TD&gt;",F14,"&lt;TD&gt;",G14,"&lt;TD&gt;",H14,"&lt;/TD&gt;&lt;/TR&gt;")</f>
        <v>&lt;TR&gt;&lt;TD&gt;5&lt;TD width=200&gt;Horníček Lukáš (MS Brno)&lt;TD&gt;3:2&lt;TD&gt;3:0&lt;TD&gt;XXX&lt;TD&gt;1:3&lt;TD&gt;5&lt;TD&gt;2&lt;/TD&gt;&lt;/TR&gt;</v>
      </c>
      <c r="AP14" s="25" t="str">
        <f>CONCATENATE("&lt;TR&gt;&lt;TD&gt;",J14,"&lt;TD&gt;",K14,"&lt;/TD&gt;&lt;/TR&gt;")</f>
        <v>&lt;TR&gt;&lt;TD&gt;Luska Petr - Šimeček Robin&lt;TD&gt;3 : 0 (8,4,7)&lt;/TD&gt;&lt;/TR&gt;</v>
      </c>
    </row>
    <row r="15" spans="1:42" ht="16.5" customHeight="1" thickBot="1">
      <c r="A15" s="31">
        <v>13</v>
      </c>
      <c r="B15" s="35" t="str">
        <f>IF($A15="","",CONCATENATE(VLOOKUP($A15,seznam!$A$2:$B$268,2)," (",VLOOKUP($A15,seznam!$A$2:$E$269,4),")"))</f>
        <v>Huták Ondřej (Klobouky u Brna)</v>
      </c>
      <c r="C15" s="39" t="str">
        <f>IF(Y11+Z11=0,"",CONCATENATE(Z11,":",Y11))</f>
        <v>0:3</v>
      </c>
      <c r="D15" s="32" t="str">
        <f>IF(Y15+Z15=0,"",CONCATENATE(Z15,":",Y15))</f>
        <v>3:0</v>
      </c>
      <c r="E15" s="32" t="str">
        <f>IF(Y13+Z13=0,"",CONCATENATE(Y13,":",Z13))</f>
        <v>3:1</v>
      </c>
      <c r="F15" s="33" t="s">
        <v>24</v>
      </c>
      <c r="G15" s="37">
        <f>IF(AF11+AE13+AF15=0,"",AF11+AE13+AF15)</f>
        <v>5</v>
      </c>
      <c r="H15" s="33">
        <v>3</v>
      </c>
      <c r="J15" s="25" t="str">
        <f t="shared" si="10"/>
        <v>Šimeček Robin - Huták Ondřej</v>
      </c>
      <c r="K15" s="25" t="str">
        <f t="shared" si="11"/>
        <v>0 : 3 (-5,-4,-7)</v>
      </c>
      <c r="M15" s="25" t="s">
        <v>36</v>
      </c>
      <c r="N15" s="25">
        <f>A13</f>
        <v>10</v>
      </c>
      <c r="O15" s="25" t="str">
        <f>IF($N15=0,"bye",VLOOKUP($N15,seznam!$A$2:$C$268,2))</f>
        <v>Šimeček Robin</v>
      </c>
      <c r="P15" s="25" t="str">
        <f>IF($N15=0,"",VLOOKUP($N15,seznam!$A$2:$D$268,4))</f>
        <v>TJ Holásky</v>
      </c>
      <c r="Q15" s="25">
        <f>A15</f>
        <v>13</v>
      </c>
      <c r="R15" s="25" t="str">
        <f>IF($Q15=0,"bye",VLOOKUP($Q15,seznam!$A$2:$C$268,2))</f>
        <v>Huták Ondřej</v>
      </c>
      <c r="S15" s="25" t="str">
        <f>IF($Q15=0,"",VLOOKUP($Q15,seznam!$A$2:$D$268,4))</f>
        <v>Klobouky u Brna</v>
      </c>
      <c r="T15" s="60" t="s">
        <v>109</v>
      </c>
      <c r="U15" s="61" t="s">
        <v>110</v>
      </c>
      <c r="V15" s="61" t="s">
        <v>108</v>
      </c>
      <c r="W15" s="61"/>
      <c r="X15" s="62"/>
      <c r="Y15" s="25">
        <f t="shared" si="12"/>
        <v>0</v>
      </c>
      <c r="Z15" s="25">
        <f t="shared" si="13"/>
        <v>3</v>
      </c>
      <c r="AA15" s="25">
        <f t="shared" si="14"/>
        <v>13</v>
      </c>
      <c r="AB15" s="25" t="str">
        <f>IF($AA15=0,"",VLOOKUP($AA15,seznam!$A$2:$C$268,2))</f>
        <v>Huták Ondřej</v>
      </c>
      <c r="AC15" s="25" t="str">
        <f t="shared" si="15"/>
        <v>3:0 (5,4,7)</v>
      </c>
      <c r="AD15" s="25" t="str">
        <f t="shared" si="16"/>
        <v>3:0 (5,4,7)</v>
      </c>
      <c r="AE15" s="25">
        <f t="shared" si="17"/>
        <v>1</v>
      </c>
      <c r="AF15" s="25">
        <f t="shared" si="18"/>
        <v>2</v>
      </c>
      <c r="AH15" s="25">
        <f t="shared" si="19"/>
        <v>-1</v>
      </c>
      <c r="AI15" s="25">
        <f t="shared" si="19"/>
        <v>-1</v>
      </c>
      <c r="AJ15" s="25">
        <f t="shared" si="19"/>
        <v>-1</v>
      </c>
      <c r="AK15" s="25">
        <f t="shared" si="19"/>
        <v>0</v>
      </c>
      <c r="AL15" s="25">
        <f t="shared" si="19"/>
        <v>0</v>
      </c>
      <c r="AN15" s="25" t="str">
        <f>CONCATENATE("&lt;/Table&gt;&lt;/TD&gt;&lt;/TR&gt;&lt;/Table&gt;&lt;P&gt;")</f>
        <v>&lt;/Table&gt;&lt;/TD&gt;&lt;/TR&gt;&lt;/Table&gt;&lt;P&gt;</v>
      </c>
      <c r="AO15" s="25" t="str">
        <f>CONCATENATE("&lt;TR&gt;&lt;TD&gt;",A15,"&lt;TD width=200&gt;",B15,"&lt;TD&gt;",C15,"&lt;TD&gt;",D15,"&lt;TD&gt;",E15,"&lt;TD&gt;",F15,"&lt;TD&gt;",G15,"&lt;TD&gt;",H15,"&lt;/TD&gt;&lt;/TR&gt;")</f>
        <v>&lt;TR&gt;&lt;TD&gt;13&lt;TD width=200&gt;Huták Ondřej (Klobouky u Brna)&lt;TD&gt;0:3&lt;TD&gt;3:0&lt;TD&gt;3:1&lt;TD&gt;XXX&lt;TD&gt;5&lt;TD&gt;3&lt;/TD&gt;&lt;/TR&gt;</v>
      </c>
      <c r="AP15" s="25" t="str">
        <f>CONCATENATE("&lt;TR&gt;&lt;TD&gt;",J15,"&lt;TD&gt;",K15,"&lt;/TD&gt;&lt;/TR&gt;")</f>
        <v>&lt;TR&gt;&lt;TD&gt;Šimeček Robin - Huták Ondřej&lt;TD&gt;0 : 3 (-5,-4,-7)&lt;/TD&gt;&lt;/TR&gt;</v>
      </c>
    </row>
    <row r="16" spans="10:42" ht="16.5" customHeight="1" thickBot="1" thickTop="1">
      <c r="J16" s="25" t="str">
        <f t="shared" si="10"/>
        <v>Horníček Lukáš - Luska Petr</v>
      </c>
      <c r="K16" s="25" t="str">
        <f t="shared" si="11"/>
        <v>3 : 2 (-13,-6,6,6,8)</v>
      </c>
      <c r="M16" s="25" t="s">
        <v>37</v>
      </c>
      <c r="N16" s="25">
        <f>A14</f>
        <v>5</v>
      </c>
      <c r="O16" s="25" t="str">
        <f>IF($N16=0,"bye",VLOOKUP($N16,seznam!$A$2:$C$268,2))</f>
        <v>Horníček Lukáš</v>
      </c>
      <c r="P16" s="25" t="str">
        <f>IF($N16=0,"",VLOOKUP($N16,seznam!$A$2:$D$268,4))</f>
        <v>MS Brno</v>
      </c>
      <c r="Q16" s="25">
        <f>A12</f>
        <v>2</v>
      </c>
      <c r="R16" s="25" t="str">
        <f>IF($Q16=0,"bye",VLOOKUP($Q16,seznam!$A$2:$C$268,2))</f>
        <v>Luska Petr</v>
      </c>
      <c r="S16" s="25" t="str">
        <f>IF($Q16=0,"",VLOOKUP($Q16,seznam!$A$2:$D$268,4))</f>
        <v>KST Vyškov</v>
      </c>
      <c r="T16" s="63" t="s">
        <v>112</v>
      </c>
      <c r="U16" s="64" t="s">
        <v>104</v>
      </c>
      <c r="V16" s="64" t="s">
        <v>96</v>
      </c>
      <c r="W16" s="64" t="s">
        <v>96</v>
      </c>
      <c r="X16" s="65" t="s">
        <v>94</v>
      </c>
      <c r="Y16" s="25">
        <f t="shared" si="12"/>
        <v>3</v>
      </c>
      <c r="Z16" s="25">
        <f t="shared" si="13"/>
        <v>2</v>
      </c>
      <c r="AA16" s="25">
        <f t="shared" si="14"/>
        <v>5</v>
      </c>
      <c r="AB16" s="25" t="str">
        <f>IF($AA16=0,"",VLOOKUP($AA16,seznam!$A$2:$C$268,2))</f>
        <v>Horníček Lukáš</v>
      </c>
      <c r="AC16" s="25" t="str">
        <f t="shared" si="15"/>
        <v>3:2 (-13,-6,6,6,8)</v>
      </c>
      <c r="AD16" s="25" t="str">
        <f t="shared" si="16"/>
        <v>3:2 (-13,-6,6,6,8)</v>
      </c>
      <c r="AE16" s="25">
        <f t="shared" si="17"/>
        <v>2</v>
      </c>
      <c r="AF16" s="25">
        <f t="shared" si="18"/>
        <v>1</v>
      </c>
      <c r="AH16" s="25">
        <f t="shared" si="19"/>
        <v>-1</v>
      </c>
      <c r="AI16" s="25">
        <f t="shared" si="19"/>
        <v>-1</v>
      </c>
      <c r="AJ16" s="25">
        <f t="shared" si="19"/>
        <v>1</v>
      </c>
      <c r="AK16" s="25">
        <f t="shared" si="19"/>
        <v>1</v>
      </c>
      <c r="AL16" s="25">
        <f t="shared" si="19"/>
        <v>1</v>
      </c>
      <c r="AP16" s="25" t="str">
        <f>CONCATENATE("&lt;TR&gt;&lt;TD&gt;",J16,"&lt;TD&gt;",K16,"&lt;/TD&gt;&lt;/TR&gt;")</f>
        <v>&lt;TR&gt;&lt;TD&gt;Horníček Lukáš - Luska Petr&lt;TD&gt;3 : 2 (-13,-6,6,6,8)&lt;/TD&gt;&lt;/TR&gt;</v>
      </c>
    </row>
    <row r="17" spans="13:40" ht="16.5" customHeight="1" thickBot="1" thickTop="1">
      <c r="M17" s="26" t="str">
        <f>B18</f>
        <v>Skupina C</v>
      </c>
      <c r="N17" s="26" t="s">
        <v>0</v>
      </c>
      <c r="O17" s="26" t="s">
        <v>1</v>
      </c>
      <c r="P17" s="26" t="s">
        <v>2</v>
      </c>
      <c r="Q17" s="26" t="s">
        <v>0</v>
      </c>
      <c r="R17" s="26" t="s">
        <v>3</v>
      </c>
      <c r="S17" s="26" t="s">
        <v>2</v>
      </c>
      <c r="T17" s="27" t="s">
        <v>4</v>
      </c>
      <c r="U17" s="27" t="s">
        <v>5</v>
      </c>
      <c r="V17" s="27" t="s">
        <v>6</v>
      </c>
      <c r="W17" s="27" t="s">
        <v>7</v>
      </c>
      <c r="X17" s="27" t="s">
        <v>8</v>
      </c>
      <c r="Y17" s="26" t="s">
        <v>9</v>
      </c>
      <c r="Z17" s="26" t="s">
        <v>10</v>
      </c>
      <c r="AA17" s="26" t="s">
        <v>11</v>
      </c>
      <c r="AN17" s="25" t="s">
        <v>18</v>
      </c>
    </row>
    <row r="18" spans="1:42" ht="16.5" customHeight="1" thickBot="1" thickTop="1">
      <c r="A18" s="46"/>
      <c r="B18" s="47" t="s">
        <v>22</v>
      </c>
      <c r="C18" s="48">
        <v>1</v>
      </c>
      <c r="D18" s="49">
        <v>2</v>
      </c>
      <c r="E18" s="49">
        <v>3</v>
      </c>
      <c r="F18" s="50">
        <v>4</v>
      </c>
      <c r="G18" s="51" t="s">
        <v>16</v>
      </c>
      <c r="H18" s="50" t="s">
        <v>17</v>
      </c>
      <c r="J18" s="25" t="str">
        <f aca="true" t="shared" si="20" ref="J18:J23">CONCATENATE(O18," - ",R18)</f>
        <v>Drápal Mětoděj - Buriánek Martin</v>
      </c>
      <c r="K18" s="25" t="str">
        <f aca="true" t="shared" si="21" ref="K18:K23">IF(SUM(Y18:Z18)=0,AD18,CONCATENATE(Y18," : ",Z18," (",T18,",",U18,",",V18,IF(Y18+Z18&gt;3,",",""),W18,IF(Y18+Z18&gt;4,",",""),X18,")"))</f>
        <v>3 : 0 (4,3,8)</v>
      </c>
      <c r="M18" s="25" t="s">
        <v>38</v>
      </c>
      <c r="N18" s="25">
        <f>A19</f>
        <v>3</v>
      </c>
      <c r="O18" s="25" t="str">
        <f>IF($N18=0,"bye",VLOOKUP($N18,seznam!$A$2:$C$268,2))</f>
        <v>Drápal Mětoděj</v>
      </c>
      <c r="P18" s="25" t="str">
        <f>IF($N18=0,"",VLOOKUP($N18,seznam!$A$2:$D$268,4))</f>
        <v>MS Brno</v>
      </c>
      <c r="Q18" s="25">
        <f>A22</f>
        <v>12</v>
      </c>
      <c r="R18" s="25" t="str">
        <f>IF($Q18=0,"bye",VLOOKUP($Q18,seznam!$A$2:$C$268,2))</f>
        <v>Buriánek Martin</v>
      </c>
      <c r="S18" s="25" t="str">
        <f>IF($Q18=0,"",VLOOKUP($Q18,seznam!$A$2:$D$268,4))</f>
        <v>MSK Břeclav</v>
      </c>
      <c r="T18" s="57" t="s">
        <v>105</v>
      </c>
      <c r="U18" s="58" t="s">
        <v>99</v>
      </c>
      <c r="V18" s="58" t="s">
        <v>94</v>
      </c>
      <c r="W18" s="58"/>
      <c r="X18" s="59"/>
      <c r="Y18" s="25">
        <f aca="true" t="shared" si="22" ref="Y18:Y23">COUNTIF(AH18:AL18,"&gt;0")</f>
        <v>3</v>
      </c>
      <c r="Z18" s="25">
        <f aca="true" t="shared" si="23" ref="Z18:Z23">COUNTIF(AH18:AL18,"&lt;0")</f>
        <v>0</v>
      </c>
      <c r="AA18" s="25">
        <f aca="true" t="shared" si="24" ref="AA18:AA23">IF(Y18=Z18,0,IF(Y18&gt;Z18,N18,Q18))</f>
        <v>3</v>
      </c>
      <c r="AB18" s="25" t="str">
        <f>IF($AA18=0,"",VLOOKUP($AA18,seznam!$A$2:$C$268,2))</f>
        <v>Drápal Mětoděj</v>
      </c>
      <c r="AC18" s="25" t="str">
        <f aca="true" t="shared" si="25" ref="AC18:AC23">IF(Y18=Z18,"",IF(Y18&gt;Z18,CONCATENATE(Y18,":",Z18," (",T18,",",U18,",",V18,IF(SUM(Y18:Z18)&gt;3,",",""),W18,IF(SUM(Y18:Z18)&gt;4,",",""),X18,")"),CONCATENATE(Z18,":",Y18," (",-T18,",",-U18,",",-V18,IF(SUM(Y18:Z18)&gt;3,CONCATENATE(",",-W18),""),IF(SUM(Y18:Z18)&gt;4,CONCATENATE(",",-X18),""),")")))</f>
        <v>3:0 (4,3,8)</v>
      </c>
      <c r="AD18" s="25" t="str">
        <f aca="true" t="shared" si="26" ref="AD18:AD23">IF(SUM(Y18:Z18)=0,"",AC18)</f>
        <v>3:0 (4,3,8)</v>
      </c>
      <c r="AE18" s="25">
        <f aca="true" t="shared" si="27" ref="AE18:AE23">IF(T18="",0,IF(Y18&gt;Z18,2,1))</f>
        <v>2</v>
      </c>
      <c r="AF18" s="25">
        <f aca="true" t="shared" si="28" ref="AF18:AF23">IF(T18="",0,IF(Z18&gt;Y18,2,1))</f>
        <v>1</v>
      </c>
      <c r="AH18" s="25">
        <f aca="true" t="shared" si="29" ref="AH18:AL23">IF(T18="",0,IF(MID(T18,1,1)="-",-1,1))</f>
        <v>1</v>
      </c>
      <c r="AI18" s="25">
        <f t="shared" si="29"/>
        <v>1</v>
      </c>
      <c r="AJ18" s="25">
        <f t="shared" si="29"/>
        <v>1</v>
      </c>
      <c r="AK18" s="25">
        <f t="shared" si="29"/>
        <v>0</v>
      </c>
      <c r="AL18" s="25">
        <f t="shared" si="29"/>
        <v>0</v>
      </c>
      <c r="AN18" s="25" t="str">
        <f>CONCATENATE("&lt;Table border=1 cellpading=0 cellspacing=0 width=480&gt;&lt;TR&gt;&lt;TH colspan=2&gt;",B18,"&lt;TH&gt;1&lt;TH&gt;2&lt;TH&gt;3&lt;TH&gt;4&lt;TH&gt;Body&lt;TH&gt;Pořadí&lt;/TH&gt;&lt;/TR&gt;")</f>
        <v>&lt;Table border=1 cellpading=0 cellspacing=0 width=480&gt;&lt;TR&gt;&lt;TH colspan=2&gt;Skupina C&lt;TH&gt;1&lt;TH&gt;2&lt;TH&gt;3&lt;TH&gt;4&lt;TH&gt;Body&lt;TH&gt;Pořadí&lt;/TH&gt;&lt;/TR&gt;</v>
      </c>
      <c r="AP18" s="25" t="str">
        <f>CONCATENATE("&lt;TR&gt;&lt;TD width=250&gt;",J18,"&lt;TD&gt;",K18,"&lt;/TD&gt;&lt;/TR&gt;")</f>
        <v>&lt;TR&gt;&lt;TD width=250&gt;Drápal Mětoděj - Buriánek Martin&lt;TD&gt;3 : 0 (4,3,8)&lt;/TD&gt;&lt;/TR&gt;</v>
      </c>
    </row>
    <row r="19" spans="1:42" ht="16.5" customHeight="1" thickTop="1">
      <c r="A19" s="40">
        <v>3</v>
      </c>
      <c r="B19" s="41" t="str">
        <f>IF($A19="","",CONCATENATE(VLOOKUP($A19,seznam!$A$2:$B$268,2)," (",VLOOKUP($A19,seznam!$A$2:$E$269,4),")"))</f>
        <v>Drápal Mětoděj (MS Brno)</v>
      </c>
      <c r="C19" s="42" t="s">
        <v>24</v>
      </c>
      <c r="D19" s="43" t="str">
        <f>IF(Y21+Z21=0,"",CONCATENATE(Y21,":",Z21))</f>
        <v>3:0</v>
      </c>
      <c r="E19" s="43" t="str">
        <f>IF(Y23+Z23=0,"",CONCATENATE(Z23,":",Y23))</f>
        <v>3:2</v>
      </c>
      <c r="F19" s="44" t="str">
        <f>IF(Y18+Z18=0,"",CONCATENATE(Y18,":",Z18))</f>
        <v>3:0</v>
      </c>
      <c r="G19" s="45">
        <f>IF(AE18+AE21+AF23=0,"",AE18+AE21+AF23)</f>
        <v>6</v>
      </c>
      <c r="H19" s="44">
        <v>1</v>
      </c>
      <c r="J19" s="25" t="str">
        <f t="shared" si="20"/>
        <v>Chalupa David - Vincenec Oliver</v>
      </c>
      <c r="K19" s="25" t="str">
        <f t="shared" si="21"/>
        <v>0 : 3 (-4,-7,-13)</v>
      </c>
      <c r="M19" s="25" t="s">
        <v>39</v>
      </c>
      <c r="N19" s="25">
        <f>A20</f>
        <v>7</v>
      </c>
      <c r="O19" s="25" t="str">
        <f>IF($N19=0,"bye",VLOOKUP($N19,seznam!$A$2:$C$268,2))</f>
        <v>Chalupa David</v>
      </c>
      <c r="P19" s="25" t="str">
        <f>IF($N19=0,"",VLOOKUP($N19,seznam!$A$2:$D$268,4))</f>
        <v>KST Blansko</v>
      </c>
      <c r="Q19" s="25">
        <f>A21</f>
        <v>4</v>
      </c>
      <c r="R19" s="25" t="str">
        <f>IF($Q19=0,"bye",VLOOKUP($Q19,seznam!$A$2:$C$268,2))</f>
        <v>Vincenec Oliver</v>
      </c>
      <c r="S19" s="25" t="str">
        <f>IF($Q19=0,"",VLOOKUP($Q19,seznam!$A$2:$D$268,4))</f>
        <v>KST Vyškov</v>
      </c>
      <c r="T19" s="60" t="s">
        <v>110</v>
      </c>
      <c r="U19" s="61" t="s">
        <v>108</v>
      </c>
      <c r="V19" s="61" t="s">
        <v>112</v>
      </c>
      <c r="W19" s="61"/>
      <c r="X19" s="62"/>
      <c r="Y19" s="25">
        <f t="shared" si="22"/>
        <v>0</v>
      </c>
      <c r="Z19" s="25">
        <f t="shared" si="23"/>
        <v>3</v>
      </c>
      <c r="AA19" s="25">
        <f t="shared" si="24"/>
        <v>4</v>
      </c>
      <c r="AB19" s="25" t="str">
        <f>IF($AA19=0,"",VLOOKUP($AA19,seznam!$A$2:$C$268,2))</f>
        <v>Vincenec Oliver</v>
      </c>
      <c r="AC19" s="25" t="str">
        <f t="shared" si="25"/>
        <v>3:0 (4,7,13)</v>
      </c>
      <c r="AD19" s="25" t="str">
        <f t="shared" si="26"/>
        <v>3:0 (4,7,13)</v>
      </c>
      <c r="AE19" s="25">
        <f t="shared" si="27"/>
        <v>1</v>
      </c>
      <c r="AF19" s="25">
        <f t="shared" si="28"/>
        <v>2</v>
      </c>
      <c r="AH19" s="25">
        <f t="shared" si="29"/>
        <v>-1</v>
      </c>
      <c r="AI19" s="25">
        <f t="shared" si="29"/>
        <v>-1</v>
      </c>
      <c r="AJ19" s="25">
        <f t="shared" si="29"/>
        <v>-1</v>
      </c>
      <c r="AK19" s="25">
        <f t="shared" si="29"/>
        <v>0</v>
      </c>
      <c r="AL19" s="25">
        <f t="shared" si="29"/>
        <v>0</v>
      </c>
      <c r="AN19" s="25" t="str">
        <f>CONCATENATE(AO19,AO20,AO21,AO22,)</f>
        <v>&lt;TR&gt;&lt;TD&gt;3&lt;TD width=200&gt;Drápal Mětoděj (MS Brno)&lt;TD&gt;XXX&lt;TD&gt;3:0&lt;TD&gt;3:2&lt;TD&gt;3:0&lt;TD&gt;6&lt;TD&gt;1&lt;/TD&gt;&lt;/TR&gt;&lt;TR&gt;&lt;TD&gt;7&lt;TD width=200&gt;Chalupa David (KST Blansko)&lt;TD&gt;0:3&lt;TD&gt;XXX&lt;TD&gt;0:3&lt;TD&gt;1:3&lt;TD&gt;3&lt;TD&gt;4&lt;/TD&gt;&lt;/TR&gt;&lt;TR&gt;&lt;TD&gt;4&lt;TD width=200&gt;Vincenec Oliver (KST Vyškov)&lt;TD&gt;2:3&lt;TD&gt;3:0&lt;TD&gt;XXX&lt;TD&gt;3:0&lt;TD&gt;5&lt;TD&gt;2&lt;/TD&gt;&lt;/TR&gt;&lt;TR&gt;&lt;TD&gt;12&lt;TD width=200&gt;Buriánek Martin (MSK Břeclav)&lt;TD&gt;0:3&lt;TD&gt;3:1&lt;TD&gt;0:3&lt;TD&gt;XXX&lt;TD&gt;4&lt;TD&gt;3&lt;/TD&gt;&lt;/TR&gt;</v>
      </c>
      <c r="AO19" s="25" t="str">
        <f>CONCATENATE("&lt;TR&gt;&lt;TD&gt;",A19,"&lt;TD width=200&gt;",B19,"&lt;TD&gt;",C19,"&lt;TD&gt;",D19,"&lt;TD&gt;",E19,"&lt;TD&gt;",F19,"&lt;TD&gt;",G19,"&lt;TD&gt;",H19,"&lt;/TD&gt;&lt;/TR&gt;")</f>
        <v>&lt;TR&gt;&lt;TD&gt;3&lt;TD width=200&gt;Drápal Mětoděj (MS Brno)&lt;TD&gt;XXX&lt;TD&gt;3:0&lt;TD&gt;3:2&lt;TD&gt;3:0&lt;TD&gt;6&lt;TD&gt;1&lt;/TD&gt;&lt;/TR&gt;</v>
      </c>
      <c r="AP19" s="25" t="str">
        <f>CONCATENATE("&lt;TR&gt;&lt;TD&gt;",J19,"&lt;TD&gt;",K19,"&lt;/TD&gt;&lt;/TR&gt;")</f>
        <v>&lt;TR&gt;&lt;TD&gt;Chalupa David - Vincenec Oliver&lt;TD&gt;0 : 3 (-4,-7,-13)&lt;/TD&gt;&lt;/TR&gt;</v>
      </c>
    </row>
    <row r="20" spans="1:42" ht="16.5" customHeight="1">
      <c r="A20" s="28">
        <v>7</v>
      </c>
      <c r="B20" s="34" t="str">
        <f>IF($A20="","",CONCATENATE(VLOOKUP($A20,seznam!$A$2:$B$268,2)," (",VLOOKUP($A20,seznam!$A$2:$E$269,4),")"))</f>
        <v>Chalupa David (KST Blansko)</v>
      </c>
      <c r="C20" s="38" t="str">
        <f>IF(Y21+Z21=0,"",CONCATENATE(Z21,":",Y21))</f>
        <v>0:3</v>
      </c>
      <c r="D20" s="29" t="s">
        <v>24</v>
      </c>
      <c r="E20" s="29" t="str">
        <f>IF(Y19+Z19=0,"",CONCATENATE(Y19,":",Z19))</f>
        <v>0:3</v>
      </c>
      <c r="F20" s="30" t="str">
        <f>IF(Y22+Z22=0,"",CONCATENATE(Y22,":",Z22))</f>
        <v>1:3</v>
      </c>
      <c r="G20" s="36">
        <f>IF(AE19+AF21+AE22=0,"",AE19+AF21+AE22)</f>
        <v>3</v>
      </c>
      <c r="H20" s="30">
        <v>4</v>
      </c>
      <c r="J20" s="25" t="str">
        <f t="shared" si="20"/>
        <v>Buriánek Martin - Vincenec Oliver</v>
      </c>
      <c r="K20" s="25" t="str">
        <f t="shared" si="21"/>
        <v>0 : 3 (-2,-9,-8)</v>
      </c>
      <c r="M20" s="25" t="s">
        <v>40</v>
      </c>
      <c r="N20" s="25">
        <f>A22</f>
        <v>12</v>
      </c>
      <c r="O20" s="25" t="str">
        <f>IF($N20=0,"bye",VLOOKUP($N20,seznam!$A$2:$C$268,2))</f>
        <v>Buriánek Martin</v>
      </c>
      <c r="P20" s="25" t="str">
        <f>IF($N20=0,"",VLOOKUP($N20,seznam!$A$2:$D$268,4))</f>
        <v>MSK Břeclav</v>
      </c>
      <c r="Q20" s="25">
        <f>A21</f>
        <v>4</v>
      </c>
      <c r="R20" s="25" t="str">
        <f>IF($Q20=0,"bye",VLOOKUP($Q20,seznam!$A$2:$C$268,2))</f>
        <v>Vincenec Oliver</v>
      </c>
      <c r="S20" s="25" t="str">
        <f>IF($Q20=0,"",VLOOKUP($Q20,seznam!$A$2:$D$268,4))</f>
        <v>KST Vyškov</v>
      </c>
      <c r="T20" s="60" t="s">
        <v>106</v>
      </c>
      <c r="U20" s="61" t="s">
        <v>102</v>
      </c>
      <c r="V20" s="61" t="s">
        <v>114</v>
      </c>
      <c r="W20" s="61"/>
      <c r="X20" s="62"/>
      <c r="Y20" s="25">
        <f t="shared" si="22"/>
        <v>0</v>
      </c>
      <c r="Z20" s="25">
        <f t="shared" si="23"/>
        <v>3</v>
      </c>
      <c r="AA20" s="25">
        <f t="shared" si="24"/>
        <v>4</v>
      </c>
      <c r="AB20" s="25" t="str">
        <f>IF($AA20=0,"",VLOOKUP($AA20,seznam!$A$2:$C$268,2))</f>
        <v>Vincenec Oliver</v>
      </c>
      <c r="AC20" s="25" t="str">
        <f t="shared" si="25"/>
        <v>3:0 (2,9,8)</v>
      </c>
      <c r="AD20" s="25" t="str">
        <f t="shared" si="26"/>
        <v>3:0 (2,9,8)</v>
      </c>
      <c r="AE20" s="25">
        <f t="shared" si="27"/>
        <v>1</v>
      </c>
      <c r="AF20" s="25">
        <f t="shared" si="28"/>
        <v>2</v>
      </c>
      <c r="AH20" s="25">
        <f t="shared" si="29"/>
        <v>-1</v>
      </c>
      <c r="AI20" s="25">
        <f t="shared" si="29"/>
        <v>-1</v>
      </c>
      <c r="AJ20" s="25">
        <f t="shared" si="29"/>
        <v>-1</v>
      </c>
      <c r="AK20" s="25">
        <f t="shared" si="29"/>
        <v>0</v>
      </c>
      <c r="AL20" s="25">
        <f t="shared" si="29"/>
        <v>0</v>
      </c>
      <c r="AN20" s="25" t="str">
        <f>CONCATENATE("&lt;/Table&gt;&lt;TD width=420&gt;&lt;Table&gt;")</f>
        <v>&lt;/Table&gt;&lt;TD width=420&gt;&lt;Table&gt;</v>
      </c>
      <c r="AO20" s="25" t="str">
        <f>CONCATENATE("&lt;TR&gt;&lt;TD&gt;",A20,"&lt;TD width=200&gt;",B20,"&lt;TD&gt;",C20,"&lt;TD&gt;",D20,"&lt;TD&gt;",E20,"&lt;TD&gt;",F20,"&lt;TD&gt;",G20,"&lt;TD&gt;",H20,"&lt;/TD&gt;&lt;/TR&gt;")</f>
        <v>&lt;TR&gt;&lt;TD&gt;7&lt;TD width=200&gt;Chalupa David (KST Blansko)&lt;TD&gt;0:3&lt;TD&gt;XXX&lt;TD&gt;0:3&lt;TD&gt;1:3&lt;TD&gt;3&lt;TD&gt;4&lt;/TD&gt;&lt;/TR&gt;</v>
      </c>
      <c r="AP20" s="25" t="str">
        <f>CONCATENATE("&lt;TR&gt;&lt;TD&gt;",J20,"&lt;TD&gt;",K20,"&lt;/TD&gt;&lt;/TR&gt;")</f>
        <v>&lt;TR&gt;&lt;TD&gt;Buriánek Martin - Vincenec Oliver&lt;TD&gt;0 : 3 (-2,-9,-8)&lt;/TD&gt;&lt;/TR&gt;</v>
      </c>
    </row>
    <row r="21" spans="1:42" ht="16.5" customHeight="1">
      <c r="A21" s="28">
        <v>4</v>
      </c>
      <c r="B21" s="34" t="str">
        <f>IF($A21="","",CONCATENATE(VLOOKUP($A21,seznam!$A$2:$B$268,2)," (",VLOOKUP($A21,seznam!$A$2:$E$269,4),")"))</f>
        <v>Vincenec Oliver (KST Vyškov)</v>
      </c>
      <c r="C21" s="38" t="str">
        <f>IF(Y23+Z23=0,"",CONCATENATE(Y23,":",Z23))</f>
        <v>2:3</v>
      </c>
      <c r="D21" s="29" t="str">
        <f>IF(Y19+Z19=0,"",CONCATENATE(Z19,":",Y19))</f>
        <v>3:0</v>
      </c>
      <c r="E21" s="29" t="s">
        <v>24</v>
      </c>
      <c r="F21" s="30" t="str">
        <f>IF(Y20+Z20=0,"",CONCATENATE(Z20,":",Y20))</f>
        <v>3:0</v>
      </c>
      <c r="G21" s="36">
        <f>IF(AF19+AF20+AE23=0,"",AF19+AF20+AE23)</f>
        <v>5</v>
      </c>
      <c r="H21" s="30">
        <v>2</v>
      </c>
      <c r="J21" s="25" t="str">
        <f t="shared" si="20"/>
        <v>Drápal Mětoděj - Chalupa David</v>
      </c>
      <c r="K21" s="25" t="str">
        <f t="shared" si="21"/>
        <v>3 : 0 (4,5,8)</v>
      </c>
      <c r="M21" s="25" t="s">
        <v>41</v>
      </c>
      <c r="N21" s="25">
        <f>A19</f>
        <v>3</v>
      </c>
      <c r="O21" s="25" t="str">
        <f>IF($N21=0,"bye",VLOOKUP($N21,seznam!$A$2:$C$268,2))</f>
        <v>Drápal Mětoděj</v>
      </c>
      <c r="P21" s="25" t="str">
        <f>IF($N21=0,"",VLOOKUP($N21,seznam!$A$2:$D$268,4))</f>
        <v>MS Brno</v>
      </c>
      <c r="Q21" s="25">
        <f>A20</f>
        <v>7</v>
      </c>
      <c r="R21" s="25" t="str">
        <f>IF($Q21=0,"bye",VLOOKUP($Q21,seznam!$A$2:$C$268,2))</f>
        <v>Chalupa David</v>
      </c>
      <c r="S21" s="25" t="str">
        <f>IF($Q21=0,"",VLOOKUP($Q21,seznam!$A$2:$D$268,4))</f>
        <v>KST Blansko</v>
      </c>
      <c r="T21" s="60" t="s">
        <v>105</v>
      </c>
      <c r="U21" s="61" t="s">
        <v>98</v>
      </c>
      <c r="V21" s="61" t="s">
        <v>94</v>
      </c>
      <c r="W21" s="61"/>
      <c r="X21" s="62"/>
      <c r="Y21" s="25">
        <f t="shared" si="22"/>
        <v>3</v>
      </c>
      <c r="Z21" s="25">
        <f t="shared" si="23"/>
        <v>0</v>
      </c>
      <c r="AA21" s="25">
        <f t="shared" si="24"/>
        <v>3</v>
      </c>
      <c r="AB21" s="25" t="str">
        <f>IF($AA21=0,"",VLOOKUP($AA21,seznam!$A$2:$C$268,2))</f>
        <v>Drápal Mětoděj</v>
      </c>
      <c r="AC21" s="25" t="str">
        <f t="shared" si="25"/>
        <v>3:0 (4,5,8)</v>
      </c>
      <c r="AD21" s="25" t="str">
        <f t="shared" si="26"/>
        <v>3:0 (4,5,8)</v>
      </c>
      <c r="AE21" s="25">
        <f t="shared" si="27"/>
        <v>2</v>
      </c>
      <c r="AF21" s="25">
        <f t="shared" si="28"/>
        <v>1</v>
      </c>
      <c r="AH21" s="25">
        <f t="shared" si="29"/>
        <v>1</v>
      </c>
      <c r="AI21" s="25">
        <f t="shared" si="29"/>
        <v>1</v>
      </c>
      <c r="AJ21" s="25">
        <f t="shared" si="29"/>
        <v>1</v>
      </c>
      <c r="AK21" s="25">
        <f t="shared" si="29"/>
        <v>0</v>
      </c>
      <c r="AL21" s="25">
        <f t="shared" si="29"/>
        <v>0</v>
      </c>
      <c r="AN21" s="25" t="str">
        <f>CONCATENATE(AP18,AP19,AP20,AP21,AP22,AP23,)</f>
        <v>&lt;TR&gt;&lt;TD width=250&gt;Drápal Mětoděj - Buriánek Martin&lt;TD&gt;3 : 0 (4,3,8)&lt;/TD&gt;&lt;/TR&gt;&lt;TR&gt;&lt;TD&gt;Chalupa David - Vincenec Oliver&lt;TD&gt;0 : 3 (-4,-7,-13)&lt;/TD&gt;&lt;/TR&gt;&lt;TR&gt;&lt;TD&gt;Buriánek Martin - Vincenec Oliver&lt;TD&gt;0 : 3 (-2,-9,-8)&lt;/TD&gt;&lt;/TR&gt;&lt;TR&gt;&lt;TD&gt;Drápal Mětoděj - Chalupa David&lt;TD&gt;3 : 0 (4,5,8)&lt;/TD&gt;&lt;/TR&gt;&lt;TR&gt;&lt;TD&gt;Chalupa David - Buriánek Martin&lt;TD&gt;1 : 3 (11,-11,-9,-3)&lt;/TD&gt;&lt;/TR&gt;&lt;TR&gt;&lt;TD&gt;Vincenec Oliver - Drápal Mětoděj&lt;TD&gt;2 : 3 (-9,-2,7,14,-10)&lt;/TD&gt;&lt;/TR&gt;</v>
      </c>
      <c r="AO21" s="25" t="str">
        <f>CONCATENATE("&lt;TR&gt;&lt;TD&gt;",A21,"&lt;TD width=200&gt;",B21,"&lt;TD&gt;",C21,"&lt;TD&gt;",D21,"&lt;TD&gt;",E21,"&lt;TD&gt;",F21,"&lt;TD&gt;",G21,"&lt;TD&gt;",H21,"&lt;/TD&gt;&lt;/TR&gt;")</f>
        <v>&lt;TR&gt;&lt;TD&gt;4&lt;TD width=200&gt;Vincenec Oliver (KST Vyškov)&lt;TD&gt;2:3&lt;TD&gt;3:0&lt;TD&gt;XXX&lt;TD&gt;3:0&lt;TD&gt;5&lt;TD&gt;2&lt;/TD&gt;&lt;/TR&gt;</v>
      </c>
      <c r="AP21" s="25" t="str">
        <f>CONCATENATE("&lt;TR&gt;&lt;TD&gt;",J21,"&lt;TD&gt;",K21,"&lt;/TD&gt;&lt;/TR&gt;")</f>
        <v>&lt;TR&gt;&lt;TD&gt;Drápal Mětoděj - Chalupa David&lt;TD&gt;3 : 0 (4,5,8)&lt;/TD&gt;&lt;/TR&gt;</v>
      </c>
    </row>
    <row r="22" spans="1:42" ht="16.5" customHeight="1" thickBot="1">
      <c r="A22" s="31">
        <v>12</v>
      </c>
      <c r="B22" s="35" t="str">
        <f>IF($A22="","",CONCATENATE(VLOOKUP($A22,seznam!$A$2:$B$268,2)," (",VLOOKUP($A22,seznam!$A$2:$E$269,4),")"))</f>
        <v>Buriánek Martin (MSK Břeclav)</v>
      </c>
      <c r="C22" s="39" t="str">
        <f>IF(Y18+Z18=0,"",CONCATENATE(Z18,":",Y18))</f>
        <v>0:3</v>
      </c>
      <c r="D22" s="32" t="str">
        <f>IF(Y22+Z22=0,"",CONCATENATE(Z22,":",Y22))</f>
        <v>3:1</v>
      </c>
      <c r="E22" s="32" t="str">
        <f>IF(Y20+Z20=0,"",CONCATENATE(Y20,":",Z20))</f>
        <v>0:3</v>
      </c>
      <c r="F22" s="33" t="s">
        <v>24</v>
      </c>
      <c r="G22" s="37">
        <f>IF(AF18+AE20+AF22=0,"",AF18+AE20+AF22)</f>
        <v>4</v>
      </c>
      <c r="H22" s="33">
        <v>3</v>
      </c>
      <c r="J22" s="25" t="str">
        <f t="shared" si="20"/>
        <v>Chalupa David - Buriánek Martin</v>
      </c>
      <c r="K22" s="25" t="str">
        <f t="shared" si="21"/>
        <v>1 : 3 (11,-11,-9,-3)</v>
      </c>
      <c r="M22" s="25" t="s">
        <v>42</v>
      </c>
      <c r="N22" s="25">
        <f>A20</f>
        <v>7</v>
      </c>
      <c r="O22" s="25" t="str">
        <f>IF($N22=0,"bye",VLOOKUP($N22,seznam!$A$2:$C$268,2))</f>
        <v>Chalupa David</v>
      </c>
      <c r="P22" s="25" t="str">
        <f>IF($N22=0,"",VLOOKUP($N22,seznam!$A$2:$D$268,4))</f>
        <v>KST Blansko</v>
      </c>
      <c r="Q22" s="25">
        <f>A22</f>
        <v>12</v>
      </c>
      <c r="R22" s="25" t="str">
        <f>IF($Q22=0,"bye",VLOOKUP($Q22,seznam!$A$2:$C$268,2))</f>
        <v>Buriánek Martin</v>
      </c>
      <c r="S22" s="25" t="str">
        <f>IF($Q22=0,"",VLOOKUP($Q22,seznam!$A$2:$D$268,4))</f>
        <v>MSK Břeclav</v>
      </c>
      <c r="T22" s="60" t="s">
        <v>120</v>
      </c>
      <c r="U22" s="61" t="s">
        <v>121</v>
      </c>
      <c r="V22" s="61" t="s">
        <v>102</v>
      </c>
      <c r="W22" s="61" t="s">
        <v>107</v>
      </c>
      <c r="X22" s="62"/>
      <c r="Y22" s="25">
        <f t="shared" si="22"/>
        <v>1</v>
      </c>
      <c r="Z22" s="25">
        <f t="shared" si="23"/>
        <v>3</v>
      </c>
      <c r="AA22" s="25">
        <f t="shared" si="24"/>
        <v>12</v>
      </c>
      <c r="AB22" s="25" t="str">
        <f>IF($AA22=0,"",VLOOKUP($AA22,seznam!$A$2:$C$268,2))</f>
        <v>Buriánek Martin</v>
      </c>
      <c r="AC22" s="25" t="str">
        <f t="shared" si="25"/>
        <v>3:1 (-11,11,9,3)</v>
      </c>
      <c r="AD22" s="25" t="str">
        <f t="shared" si="26"/>
        <v>3:1 (-11,11,9,3)</v>
      </c>
      <c r="AE22" s="25">
        <f t="shared" si="27"/>
        <v>1</v>
      </c>
      <c r="AF22" s="25">
        <f t="shared" si="28"/>
        <v>2</v>
      </c>
      <c r="AH22" s="25">
        <f t="shared" si="29"/>
        <v>1</v>
      </c>
      <c r="AI22" s="25">
        <f t="shared" si="29"/>
        <v>-1</v>
      </c>
      <c r="AJ22" s="25">
        <f t="shared" si="29"/>
        <v>-1</v>
      </c>
      <c r="AK22" s="25">
        <f t="shared" si="29"/>
        <v>-1</v>
      </c>
      <c r="AL22" s="25">
        <f t="shared" si="29"/>
        <v>0</v>
      </c>
      <c r="AN22" s="25" t="str">
        <f>CONCATENATE("&lt;/Table&gt;&lt;/TD&gt;&lt;/TR&gt;&lt;/Table&gt;&lt;P&gt;")</f>
        <v>&lt;/Table&gt;&lt;/TD&gt;&lt;/TR&gt;&lt;/Table&gt;&lt;P&gt;</v>
      </c>
      <c r="AO22" s="25" t="str">
        <f>CONCATENATE("&lt;TR&gt;&lt;TD&gt;",A22,"&lt;TD width=200&gt;",B22,"&lt;TD&gt;",C22,"&lt;TD&gt;",D22,"&lt;TD&gt;",E22,"&lt;TD&gt;",F22,"&lt;TD&gt;",G22,"&lt;TD&gt;",H22,"&lt;/TD&gt;&lt;/TR&gt;")</f>
        <v>&lt;TR&gt;&lt;TD&gt;12&lt;TD width=200&gt;Buriánek Martin (MSK Břeclav)&lt;TD&gt;0:3&lt;TD&gt;3:1&lt;TD&gt;0:3&lt;TD&gt;XXX&lt;TD&gt;4&lt;TD&gt;3&lt;/TD&gt;&lt;/TR&gt;</v>
      </c>
      <c r="AP22" s="25" t="str">
        <f>CONCATENATE("&lt;TR&gt;&lt;TD&gt;",J22,"&lt;TD&gt;",K22,"&lt;/TD&gt;&lt;/TR&gt;")</f>
        <v>&lt;TR&gt;&lt;TD&gt;Chalupa David - Buriánek Martin&lt;TD&gt;1 : 3 (11,-11,-9,-3)&lt;/TD&gt;&lt;/TR&gt;</v>
      </c>
    </row>
    <row r="23" spans="10:42" ht="16.5" customHeight="1" thickBot="1" thickTop="1">
      <c r="J23" s="25" t="str">
        <f t="shared" si="20"/>
        <v>Vincenec Oliver - Drápal Mětoděj</v>
      </c>
      <c r="K23" s="25" t="str">
        <f t="shared" si="21"/>
        <v>2 : 3 (-9,-2,7,14,-10)</v>
      </c>
      <c r="M23" s="25" t="s">
        <v>43</v>
      </c>
      <c r="N23" s="25">
        <f>A21</f>
        <v>4</v>
      </c>
      <c r="O23" s="25" t="str">
        <f>IF($N23=0,"bye",VLOOKUP($N23,seznam!$A$2:$C$268,2))</f>
        <v>Vincenec Oliver</v>
      </c>
      <c r="P23" s="25" t="str">
        <f>IF($N23=0,"",VLOOKUP($N23,seznam!$A$2:$D$268,4))</f>
        <v>KST Vyškov</v>
      </c>
      <c r="Q23" s="25">
        <f>A19</f>
        <v>3</v>
      </c>
      <c r="R23" s="25" t="str">
        <f>IF($Q23=0,"bye",VLOOKUP($Q23,seznam!$A$2:$C$268,2))</f>
        <v>Drápal Mětoděj</v>
      </c>
      <c r="S23" s="25" t="str">
        <f>IF($Q23=0,"",VLOOKUP($Q23,seznam!$A$2:$D$268,4))</f>
        <v>MS Brno</v>
      </c>
      <c r="T23" s="63" t="s">
        <v>102</v>
      </c>
      <c r="U23" s="64" t="s">
        <v>106</v>
      </c>
      <c r="V23" s="64" t="s">
        <v>100</v>
      </c>
      <c r="W23" s="64" t="s">
        <v>113</v>
      </c>
      <c r="X23" s="65" t="s">
        <v>116</v>
      </c>
      <c r="Y23" s="25">
        <f t="shared" si="22"/>
        <v>2</v>
      </c>
      <c r="Z23" s="25">
        <f t="shared" si="23"/>
        <v>3</v>
      </c>
      <c r="AA23" s="25">
        <f t="shared" si="24"/>
        <v>3</v>
      </c>
      <c r="AB23" s="25" t="str">
        <f>IF($AA23=0,"",VLOOKUP($AA23,seznam!$A$2:$C$268,2))</f>
        <v>Drápal Mětoděj</v>
      </c>
      <c r="AC23" s="25" t="str">
        <f t="shared" si="25"/>
        <v>3:2 (9,2,-7,-14,10)</v>
      </c>
      <c r="AD23" s="25" t="str">
        <f t="shared" si="26"/>
        <v>3:2 (9,2,-7,-14,10)</v>
      </c>
      <c r="AE23" s="25">
        <f t="shared" si="27"/>
        <v>1</v>
      </c>
      <c r="AF23" s="25">
        <f t="shared" si="28"/>
        <v>2</v>
      </c>
      <c r="AH23" s="25">
        <f t="shared" si="29"/>
        <v>-1</v>
      </c>
      <c r="AI23" s="25">
        <f t="shared" si="29"/>
        <v>-1</v>
      </c>
      <c r="AJ23" s="25">
        <f t="shared" si="29"/>
        <v>1</v>
      </c>
      <c r="AK23" s="25">
        <f t="shared" si="29"/>
        <v>1</v>
      </c>
      <c r="AL23" s="25">
        <f t="shared" si="29"/>
        <v>-1</v>
      </c>
      <c r="AP23" s="25" t="str">
        <f>CONCATENATE("&lt;TR&gt;&lt;TD&gt;",J23,"&lt;TD&gt;",K23,"&lt;/TD&gt;&lt;/TR&gt;")</f>
        <v>&lt;TR&gt;&lt;TD&gt;Vincenec Oliver - Drápal Mětoděj&lt;TD&gt;2 : 3 (-9,-2,7,14,-10)&lt;/TD&gt;&lt;/TR&gt;</v>
      </c>
    </row>
    <row r="24" ht="15" customHeight="1" thickTop="1"/>
  </sheetData>
  <sheetProtection/>
  <printOptions/>
  <pageMargins left="0.5905511811023623" right="0.5905511811023623" top="0.5905511811023623" bottom="0.3937007874015748" header="0.5118110236220472" footer="3.661417322834646"/>
  <pageSetup fitToWidth="0" horizontalDpi="300" verticalDpi="300" orientation="portrait" paperSize="9" scale="1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6"/>
  <sheetViews>
    <sheetView view="pageBreakPreview" zoomScaleSheetLayoutView="100" zoomScalePageLayoutView="0" workbookViewId="0" topLeftCell="A2">
      <selection activeCell="H7" sqref="H7"/>
    </sheetView>
  </sheetViews>
  <sheetFormatPr defaultColWidth="9.125" defaultRowHeight="15" customHeight="1"/>
  <cols>
    <col min="1" max="1" width="3.50390625" style="25" customWidth="1"/>
    <col min="2" max="2" width="31.125" style="25" bestFit="1" customWidth="1"/>
    <col min="3" max="8" width="5.00390625" style="25" customWidth="1"/>
    <col min="9" max="9" width="1.4921875" style="25" customWidth="1"/>
    <col min="10" max="10" width="30.875" style="25" bestFit="1" customWidth="1"/>
    <col min="11" max="11" width="30.125" style="25" customWidth="1"/>
    <col min="12" max="12" width="4.50390625" style="25" customWidth="1"/>
    <col min="13" max="13" width="24.125" style="25" bestFit="1" customWidth="1"/>
    <col min="14" max="14" width="5.375" style="25" bestFit="1" customWidth="1"/>
    <col min="15" max="15" width="14.50390625" style="25" bestFit="1" customWidth="1"/>
    <col min="16" max="16" width="3.625" style="25" customWidth="1"/>
    <col min="17" max="17" width="4.625" style="25" bestFit="1" customWidth="1"/>
    <col min="18" max="18" width="14.50390625" style="25" bestFit="1" customWidth="1"/>
    <col min="19" max="19" width="2.875" style="25" customWidth="1"/>
    <col min="20" max="24" width="5.00390625" style="25" bestFit="1" customWidth="1"/>
    <col min="25" max="26" width="5.125" style="25" customWidth="1"/>
    <col min="27" max="27" width="5.50390625" style="25" bestFit="1" customWidth="1"/>
    <col min="28" max="28" width="4.50390625" style="25" customWidth="1"/>
    <col min="29" max="29" width="8.125" style="25" bestFit="1" customWidth="1"/>
    <col min="30" max="30" width="3.50390625" style="25" customWidth="1"/>
    <col min="31" max="32" width="3.125" style="25" customWidth="1"/>
    <col min="33" max="33" width="1.875" style="25" customWidth="1"/>
    <col min="34" max="38" width="3.125" style="25" customWidth="1"/>
    <col min="39" max="39" width="3.00390625" style="25" customWidth="1"/>
    <col min="40" max="42" width="0" style="25" hidden="1" customWidth="1"/>
    <col min="43" max="16384" width="9.125" style="25" customWidth="1"/>
  </cols>
  <sheetData>
    <row r="1" spans="1:10" ht="22.5">
      <c r="A1" s="3"/>
      <c r="B1" s="87" t="s">
        <v>90</v>
      </c>
      <c r="C1" s="2"/>
      <c r="D1" s="2"/>
      <c r="E1" s="2"/>
      <c r="F1" s="2"/>
      <c r="G1" s="2"/>
      <c r="J1" s="88" t="s">
        <v>89</v>
      </c>
    </row>
    <row r="2" spans="1:11" ht="20.25">
      <c r="A2" s="4"/>
      <c r="B2" s="2"/>
      <c r="C2" s="2"/>
      <c r="D2" s="2"/>
      <c r="E2" s="2"/>
      <c r="F2" s="2"/>
      <c r="G2" s="20"/>
      <c r="K2" s="20"/>
    </row>
    <row r="3" spans="1:40" ht="15" customHeight="1" thickBot="1">
      <c r="A3" s="2"/>
      <c r="B3" s="2"/>
      <c r="C3" s="4"/>
      <c r="D3" s="2"/>
      <c r="E3" s="2"/>
      <c r="F3" s="2"/>
      <c r="G3" s="15"/>
      <c r="K3" s="82"/>
      <c r="M3" s="26" t="str">
        <f>B4</f>
        <v>Skupina A</v>
      </c>
      <c r="N3" s="26" t="s">
        <v>0</v>
      </c>
      <c r="O3" s="26" t="s">
        <v>1</v>
      </c>
      <c r="P3" s="26" t="s">
        <v>2</v>
      </c>
      <c r="Q3" s="26" t="s">
        <v>0</v>
      </c>
      <c r="R3" s="26" t="s">
        <v>3</v>
      </c>
      <c r="S3" s="26" t="s">
        <v>2</v>
      </c>
      <c r="T3" s="27" t="s">
        <v>4</v>
      </c>
      <c r="U3" s="27" t="s">
        <v>5</v>
      </c>
      <c r="V3" s="27" t="s">
        <v>6</v>
      </c>
      <c r="W3" s="27" t="s">
        <v>7</v>
      </c>
      <c r="X3" s="27" t="s">
        <v>8</v>
      </c>
      <c r="Y3" s="26" t="s">
        <v>9</v>
      </c>
      <c r="Z3" s="26" t="s">
        <v>10</v>
      </c>
      <c r="AA3" s="26" t="s">
        <v>11</v>
      </c>
      <c r="AN3" s="25" t="s">
        <v>18</v>
      </c>
    </row>
    <row r="4" spans="1:42" ht="16.5" customHeight="1" thickBot="1" thickTop="1">
      <c r="A4" s="46"/>
      <c r="B4" s="47" t="s">
        <v>20</v>
      </c>
      <c r="C4" s="48">
        <v>1</v>
      </c>
      <c r="D4" s="49">
        <v>2</v>
      </c>
      <c r="E4" s="49">
        <v>3</v>
      </c>
      <c r="F4" s="50">
        <v>4</v>
      </c>
      <c r="G4" s="51" t="s">
        <v>16</v>
      </c>
      <c r="H4" s="50" t="s">
        <v>17</v>
      </c>
      <c r="J4" s="25" t="str">
        <f aca="true" t="shared" si="0" ref="J4:J9">CONCATENATE(O4," - ",R4)</f>
        <v>Sobotíková Monika - bye</v>
      </c>
      <c r="K4" s="25">
        <f aca="true" t="shared" si="1" ref="K4:K9">IF(SUM(Y4:Z4)=0,AD4,CONCATENATE(Y4," : ",Z4," (",T4,",",U4,",",V4,IF(Y4+Z4&gt;3,",",""),W4,IF(Y4+Z4&gt;4,",",""),X4,")"))</f>
      </c>
      <c r="M4" s="25" t="s">
        <v>26</v>
      </c>
      <c r="N4" s="25">
        <f>A5</f>
        <v>41</v>
      </c>
      <c r="O4" s="25" t="str">
        <f>IF($N4=0,"bye",VLOOKUP($N4,seznam!$A$2:$C$268,2))</f>
        <v>Sobotíková Monika</v>
      </c>
      <c r="P4" s="25" t="str">
        <f>IF($N4=0,"",VLOOKUP($N4,seznam!$A$2:$D$268,4))</f>
        <v>MS Brno</v>
      </c>
      <c r="Q4" s="25">
        <f>A8</f>
        <v>0</v>
      </c>
      <c r="R4" s="25" t="str">
        <f>IF($Q4=0,"bye",VLOOKUP($Q4,seznam!$A$2:$C$268,2))</f>
        <v>bye</v>
      </c>
      <c r="S4" s="25">
        <f>IF($Q4=0,"",VLOOKUP($Q4,seznam!$A$2:$D$268,4))</f>
      </c>
      <c r="T4" s="57"/>
      <c r="U4" s="58"/>
      <c r="V4" s="58"/>
      <c r="W4" s="58"/>
      <c r="X4" s="59"/>
      <c r="Y4" s="25">
        <f aca="true" t="shared" si="2" ref="Y4:Y9">COUNTIF(AH4:AL4,"&gt;0")</f>
        <v>0</v>
      </c>
      <c r="Z4" s="25">
        <f aca="true" t="shared" si="3" ref="Z4:Z9">COUNTIF(AH4:AL4,"&lt;0")</f>
        <v>0</v>
      </c>
      <c r="AA4" s="25">
        <f aca="true" t="shared" si="4" ref="AA4:AA9">IF(Y4=Z4,0,IF(Y4&gt;Z4,N4,Q4))</f>
        <v>0</v>
      </c>
      <c r="AB4" s="25">
        <f>IF($AA4=0,"",VLOOKUP($AA4,seznam!$A$2:$C$268,2))</f>
      </c>
      <c r="AC4" s="25">
        <f aca="true" t="shared" si="5" ref="AC4:AC9">IF(Y4=Z4,"",IF(Y4&gt;Z4,CONCATENATE(Y4,":",Z4," (",T4,",",U4,",",V4,IF(SUM(Y4:Z4)&gt;3,",",""),W4,IF(SUM(Y4:Z4)&gt;4,",",""),X4,")"),CONCATENATE(Z4,":",Y4," (",-T4,",",-U4,",",-V4,IF(SUM(Y4:Z4)&gt;3,CONCATENATE(",",-W4),""),IF(SUM(Y4:Z4)&gt;4,CONCATENATE(",",-X4),""),")")))</f>
      </c>
      <c r="AD4" s="25">
        <f aca="true" t="shared" si="6" ref="AD4:AD9">IF(SUM(Y4:Z4)=0,"",AC4)</f>
      </c>
      <c r="AE4" s="25">
        <f aca="true" t="shared" si="7" ref="AE4:AE9">IF(T4="",0,IF(Y4&gt;Z4,2,1))</f>
        <v>0</v>
      </c>
      <c r="AF4" s="25">
        <f aca="true" t="shared" si="8" ref="AF4:AF9">IF(T4="",0,IF(Z4&gt;Y4,2,1))</f>
        <v>0</v>
      </c>
      <c r="AH4" s="25">
        <f aca="true" t="shared" si="9" ref="AH4:AL9">IF(T4="",0,IF(MID(T4,1,1)="-",-1,1))</f>
        <v>0</v>
      </c>
      <c r="AI4" s="25">
        <f t="shared" si="9"/>
        <v>0</v>
      </c>
      <c r="AJ4" s="25">
        <f t="shared" si="9"/>
        <v>0</v>
      </c>
      <c r="AK4" s="25">
        <f t="shared" si="9"/>
        <v>0</v>
      </c>
      <c r="AL4" s="25">
        <f t="shared" si="9"/>
        <v>0</v>
      </c>
      <c r="AN4" s="25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A&lt;TH&gt;1&lt;TH&gt;2&lt;TH&gt;3&lt;TH&gt;4&lt;TH&gt;Body&lt;TH&gt;Pořadí&lt;/TH&gt;&lt;/TR&gt;</v>
      </c>
      <c r="AP4" s="25" t="str">
        <f>CONCATENATE("&lt;TR&gt;&lt;TD width=250&gt;",J4,"&lt;TD&gt;",K4,"&lt;/TD&gt;&lt;/TR&gt;")</f>
        <v>&lt;TR&gt;&lt;TD width=250&gt;Sobotíková Monika - bye&lt;TD&gt;&lt;/TD&gt;&lt;/TR&gt;</v>
      </c>
    </row>
    <row r="5" spans="1:42" ht="16.5" customHeight="1" thickTop="1">
      <c r="A5" s="40">
        <v>41</v>
      </c>
      <c r="B5" s="41" t="str">
        <f>IF($A5="","",CONCATENATE(VLOOKUP($A5,seznam!$A$2:$B$268,2)," (",VLOOKUP($A5,seznam!$A$2:$E$269,4),")"))</f>
        <v>Sobotíková Monika (MS Brno)</v>
      </c>
      <c r="C5" s="42" t="s">
        <v>24</v>
      </c>
      <c r="D5" s="43" t="str">
        <f>IF(Y7+Z7=0,"",CONCATENATE(Y7,":",Z7))</f>
        <v>3:0</v>
      </c>
      <c r="E5" s="43" t="str">
        <f>IF(Y9+Z9=0,"",CONCATENATE(Z9,":",Y9))</f>
        <v>3:0</v>
      </c>
      <c r="F5" s="44">
        <f>IF(Y4+Z4=0,"",CONCATENATE(Y4,":",Z4))</f>
      </c>
      <c r="G5" s="45">
        <f>IF(AE4+AE7+AF9=0,"",AE4+AE7+AF9)</f>
        <v>4</v>
      </c>
      <c r="H5" s="44">
        <v>1</v>
      </c>
      <c r="J5" s="25" t="str">
        <f t="shared" si="0"/>
        <v>Plíšková Kateřina - Pilitowská Lea</v>
      </c>
      <c r="K5" s="25" t="str">
        <f t="shared" si="1"/>
        <v>0 : 3 (-2,-6,-5)</v>
      </c>
      <c r="M5" s="25" t="s">
        <v>27</v>
      </c>
      <c r="N5" s="25">
        <f>A6</f>
        <v>46</v>
      </c>
      <c r="O5" s="25" t="str">
        <f>IF($N5=0,"bye",VLOOKUP($N5,seznam!$A$2:$C$268,2))</f>
        <v>Plíšková Kateřina</v>
      </c>
      <c r="P5" s="25" t="str">
        <f>IF($N5=0,"",VLOOKUP($N5,seznam!$A$2:$D$268,4))</f>
        <v>MS Brno</v>
      </c>
      <c r="Q5" s="25">
        <f>A7</f>
        <v>43</v>
      </c>
      <c r="R5" s="25" t="str">
        <f>IF($Q5=0,"bye",VLOOKUP($Q5,seznam!$A$2:$C$268,2))</f>
        <v>Pilitowská Lea</v>
      </c>
      <c r="S5" s="25" t="str">
        <f>IF($Q5=0,"",VLOOKUP($Q5,seznam!$A$2:$D$268,4))</f>
        <v>KST Blansko</v>
      </c>
      <c r="T5" s="60" t="s">
        <v>106</v>
      </c>
      <c r="U5" s="61" t="s">
        <v>104</v>
      </c>
      <c r="V5" s="61" t="s">
        <v>109</v>
      </c>
      <c r="W5" s="61"/>
      <c r="X5" s="62"/>
      <c r="Y5" s="25">
        <f t="shared" si="2"/>
        <v>0</v>
      </c>
      <c r="Z5" s="25">
        <f t="shared" si="3"/>
        <v>3</v>
      </c>
      <c r="AA5" s="25">
        <f t="shared" si="4"/>
        <v>43</v>
      </c>
      <c r="AB5" s="25" t="str">
        <f>IF($AA5=0,"",VLOOKUP($AA5,seznam!$A$2:$C$268,2))</f>
        <v>Pilitowská Lea</v>
      </c>
      <c r="AC5" s="25" t="str">
        <f t="shared" si="5"/>
        <v>3:0 (2,6,5)</v>
      </c>
      <c r="AD5" s="25" t="str">
        <f t="shared" si="6"/>
        <v>3:0 (2,6,5)</v>
      </c>
      <c r="AE5" s="25">
        <f t="shared" si="7"/>
        <v>1</v>
      </c>
      <c r="AF5" s="25">
        <f t="shared" si="8"/>
        <v>2</v>
      </c>
      <c r="AH5" s="25">
        <f t="shared" si="9"/>
        <v>-1</v>
      </c>
      <c r="AI5" s="25">
        <f t="shared" si="9"/>
        <v>-1</v>
      </c>
      <c r="AJ5" s="25">
        <f t="shared" si="9"/>
        <v>-1</v>
      </c>
      <c r="AK5" s="25">
        <f t="shared" si="9"/>
        <v>0</v>
      </c>
      <c r="AL5" s="25">
        <f t="shared" si="9"/>
        <v>0</v>
      </c>
      <c r="AN5" s="25" t="str">
        <f>CONCATENATE(AO5,AO6,AO7,AO8,)</f>
        <v>&lt;TR&gt;&lt;TD&gt;41&lt;TD width=200&gt;Sobotíková Monika (MS Brno)&lt;TD&gt;XXX&lt;TD&gt;3:0&lt;TD&gt;3:0&lt;TD&gt;&lt;TD&gt;4&lt;TD&gt;1&lt;/TD&gt;&lt;/TR&gt;&lt;TR&gt;&lt;TD&gt;46&lt;TD width=200&gt;Plíšková Kateřina (MS Brno)&lt;TD&gt;0:3&lt;TD&gt;XXX&lt;TD&gt;0:3&lt;TD&gt;&lt;TD&gt;2&lt;TD&gt;3&lt;/TD&gt;&lt;/TR&gt;&lt;TR&gt;&lt;TD&gt;43&lt;TD width=200&gt;Pilitowská Lea (KST Blansko)&lt;TD&gt;0:3&lt;TD&gt;3:0&lt;TD&gt;XXX&lt;TD&gt;&lt;TD&gt;3&lt;TD&gt;2&lt;/TD&gt;&lt;/TR&gt;&lt;TR&gt;&lt;TD&gt;&lt;TD width=200&gt;&lt;TD&gt;&lt;TD&gt;&lt;TD&gt;&lt;TD&gt;XXX&lt;TD&gt;&lt;TD&gt;&lt;/TD&gt;&lt;/TR&gt;</v>
      </c>
      <c r="AO5" s="25" t="str">
        <f>CONCATENATE("&lt;TR&gt;&lt;TD&gt;",A5,"&lt;TD width=200&gt;",B5,"&lt;TD&gt;",C5,"&lt;TD&gt;",D5,"&lt;TD&gt;",E5,"&lt;TD&gt;",F5,"&lt;TD&gt;",G5,"&lt;TD&gt;",H5,"&lt;/TD&gt;&lt;/TR&gt;")</f>
        <v>&lt;TR&gt;&lt;TD&gt;41&lt;TD width=200&gt;Sobotíková Monika (MS Brno)&lt;TD&gt;XXX&lt;TD&gt;3:0&lt;TD&gt;3:0&lt;TD&gt;&lt;TD&gt;4&lt;TD&gt;1&lt;/TD&gt;&lt;/TR&gt;</v>
      </c>
      <c r="AP5" s="25" t="str">
        <f>CONCATENATE("&lt;TR&gt;&lt;TD&gt;",J5,"&lt;TD&gt;",K5,"&lt;/TD&gt;&lt;/TR&gt;")</f>
        <v>&lt;TR&gt;&lt;TD&gt;Plíšková Kateřina - Pilitowská Lea&lt;TD&gt;0 : 3 (-2,-6,-5)&lt;/TD&gt;&lt;/TR&gt;</v>
      </c>
    </row>
    <row r="6" spans="1:42" ht="16.5" customHeight="1">
      <c r="A6" s="28">
        <v>46</v>
      </c>
      <c r="B6" s="34" t="str">
        <f>IF($A6="","",CONCATENATE(VLOOKUP($A6,seznam!$A$2:$B$268,2)," (",VLOOKUP($A6,seznam!$A$2:$E$269,4),")"))</f>
        <v>Plíšková Kateřina (MS Brno)</v>
      </c>
      <c r="C6" s="38" t="str">
        <f>IF(Y7+Z7=0,"",CONCATENATE(Z7,":",Y7))</f>
        <v>0:3</v>
      </c>
      <c r="D6" s="29" t="s">
        <v>24</v>
      </c>
      <c r="E6" s="29" t="str">
        <f>IF(Y5+Z5=0,"",CONCATENATE(Y5,":",Z5))</f>
        <v>0:3</v>
      </c>
      <c r="F6" s="30">
        <f>IF(Y8+Z8=0,"",CONCATENATE(Y8,":",Z8))</f>
      </c>
      <c r="G6" s="36">
        <f>IF(AE5+AF7+AE8=0,"",AE5+AF7+AE8)</f>
        <v>2</v>
      </c>
      <c r="H6" s="30">
        <v>3</v>
      </c>
      <c r="J6" s="25" t="str">
        <f t="shared" si="0"/>
        <v>bye - Pilitowská Lea</v>
      </c>
      <c r="K6" s="25">
        <f t="shared" si="1"/>
      </c>
      <c r="M6" s="25" t="s">
        <v>28</v>
      </c>
      <c r="N6" s="25">
        <f>A8</f>
        <v>0</v>
      </c>
      <c r="O6" s="25" t="str">
        <f>IF($N6=0,"bye",VLOOKUP($N6,seznam!$A$2:$C$268,2))</f>
        <v>bye</v>
      </c>
      <c r="P6" s="25">
        <f>IF($N6=0,"",VLOOKUP($N6,seznam!$A$2:$D$268,4))</f>
      </c>
      <c r="Q6" s="25">
        <f>A7</f>
        <v>43</v>
      </c>
      <c r="R6" s="25" t="str">
        <f>IF($Q6=0,"bye",VLOOKUP($Q6,seznam!$A$2:$C$268,2))</f>
        <v>Pilitowská Lea</v>
      </c>
      <c r="S6" s="25" t="str">
        <f>IF($Q6=0,"",VLOOKUP($Q6,seznam!$A$2:$D$268,4))</f>
        <v>KST Blansko</v>
      </c>
      <c r="T6" s="60"/>
      <c r="U6" s="61"/>
      <c r="V6" s="61"/>
      <c r="W6" s="61"/>
      <c r="X6" s="62"/>
      <c r="Y6" s="25">
        <f t="shared" si="2"/>
        <v>0</v>
      </c>
      <c r="Z6" s="25">
        <f t="shared" si="3"/>
        <v>0</v>
      </c>
      <c r="AA6" s="25">
        <f t="shared" si="4"/>
        <v>0</v>
      </c>
      <c r="AB6" s="25">
        <f>IF($AA6=0,"",VLOOKUP($AA6,seznam!$A$2:$C$268,2))</f>
      </c>
      <c r="AC6" s="25">
        <f t="shared" si="5"/>
      </c>
      <c r="AD6" s="25">
        <f t="shared" si="6"/>
      </c>
      <c r="AE6" s="25">
        <f t="shared" si="7"/>
        <v>0</v>
      </c>
      <c r="AF6" s="25">
        <f t="shared" si="8"/>
        <v>0</v>
      </c>
      <c r="AH6" s="25">
        <f t="shared" si="9"/>
        <v>0</v>
      </c>
      <c r="AI6" s="25">
        <f t="shared" si="9"/>
        <v>0</v>
      </c>
      <c r="AJ6" s="25">
        <f t="shared" si="9"/>
        <v>0</v>
      </c>
      <c r="AK6" s="25">
        <f t="shared" si="9"/>
        <v>0</v>
      </c>
      <c r="AL6" s="25">
        <f t="shared" si="9"/>
        <v>0</v>
      </c>
      <c r="AN6" s="25" t="str">
        <f>CONCATENATE("&lt;/Table&gt;&lt;TD width=420&gt;&lt;Table&gt;")</f>
        <v>&lt;/Table&gt;&lt;TD width=420&gt;&lt;Table&gt;</v>
      </c>
      <c r="AO6" s="25" t="str">
        <f>CONCATENATE("&lt;TR&gt;&lt;TD&gt;",A6,"&lt;TD width=200&gt;",B6,"&lt;TD&gt;",C6,"&lt;TD&gt;",D6,"&lt;TD&gt;",E6,"&lt;TD&gt;",F6,"&lt;TD&gt;",G6,"&lt;TD&gt;",H6,"&lt;/TD&gt;&lt;/TR&gt;")</f>
        <v>&lt;TR&gt;&lt;TD&gt;46&lt;TD width=200&gt;Plíšková Kateřina (MS Brno)&lt;TD&gt;0:3&lt;TD&gt;XXX&lt;TD&gt;0:3&lt;TD&gt;&lt;TD&gt;2&lt;TD&gt;3&lt;/TD&gt;&lt;/TR&gt;</v>
      </c>
      <c r="AP6" s="25" t="str">
        <f>CONCATENATE("&lt;TR&gt;&lt;TD&gt;",J6,"&lt;TD&gt;",K6,"&lt;/TD&gt;&lt;/TR&gt;")</f>
        <v>&lt;TR&gt;&lt;TD&gt;bye - Pilitowská Lea&lt;TD&gt;&lt;/TD&gt;&lt;/TR&gt;</v>
      </c>
    </row>
    <row r="7" spans="1:42" ht="16.5" customHeight="1">
      <c r="A7" s="28">
        <v>43</v>
      </c>
      <c r="B7" s="34" t="str">
        <f>IF($A7="","",CONCATENATE(VLOOKUP($A7,seznam!$A$2:$B$268,2)," (",VLOOKUP($A7,seznam!$A$2:$E$269,4),")"))</f>
        <v>Pilitowská Lea (KST Blansko)</v>
      </c>
      <c r="C7" s="38" t="str">
        <f>IF(Y9+Z9=0,"",CONCATENATE(Y9,":",Z9))</f>
        <v>0:3</v>
      </c>
      <c r="D7" s="29" t="str">
        <f>IF(Y5+Z5=0,"",CONCATENATE(Z5,":",Y5))</f>
        <v>3:0</v>
      </c>
      <c r="E7" s="29" t="s">
        <v>24</v>
      </c>
      <c r="F7" s="30">
        <f>IF(Y6+Z6=0,"",CONCATENATE(Z6,":",Y6))</f>
      </c>
      <c r="G7" s="36">
        <f>IF(AF5+AF6+AE9=0,"",AF5+AF6+AE9)</f>
        <v>3</v>
      </c>
      <c r="H7" s="30">
        <v>2</v>
      </c>
      <c r="J7" s="25" t="str">
        <f t="shared" si="0"/>
        <v>Sobotíková Monika - Plíšková Kateřina</v>
      </c>
      <c r="K7" s="25" t="str">
        <f t="shared" si="1"/>
        <v>3 : 0 (5,2,7)</v>
      </c>
      <c r="M7" s="25" t="s">
        <v>29</v>
      </c>
      <c r="N7" s="25">
        <f>A5</f>
        <v>41</v>
      </c>
      <c r="O7" s="25" t="str">
        <f>IF($N7=0,"bye",VLOOKUP($N7,seznam!$A$2:$C$268,2))</f>
        <v>Sobotíková Monika</v>
      </c>
      <c r="P7" s="25" t="str">
        <f>IF($N7=0,"",VLOOKUP($N7,seznam!$A$2:$D$268,4))</f>
        <v>MS Brno</v>
      </c>
      <c r="Q7" s="25">
        <f>A6</f>
        <v>46</v>
      </c>
      <c r="R7" s="25" t="str">
        <f>IF($Q7=0,"bye",VLOOKUP($Q7,seznam!$A$2:$C$268,2))</f>
        <v>Plíšková Kateřina</v>
      </c>
      <c r="S7" s="25" t="str">
        <f>IF($Q7=0,"",VLOOKUP($Q7,seznam!$A$2:$D$268,4))</f>
        <v>MS Brno</v>
      </c>
      <c r="T7" s="60" t="s">
        <v>98</v>
      </c>
      <c r="U7" s="61" t="s">
        <v>52</v>
      </c>
      <c r="V7" s="61" t="s">
        <v>100</v>
      </c>
      <c r="W7" s="61"/>
      <c r="X7" s="62"/>
      <c r="Y7" s="25">
        <f t="shared" si="2"/>
        <v>3</v>
      </c>
      <c r="Z7" s="25">
        <f t="shared" si="3"/>
        <v>0</v>
      </c>
      <c r="AA7" s="25">
        <f t="shared" si="4"/>
        <v>41</v>
      </c>
      <c r="AB7" s="25" t="str">
        <f>IF($AA7=0,"",VLOOKUP($AA7,seznam!$A$2:$C$268,2))</f>
        <v>Sobotíková Monika</v>
      </c>
      <c r="AC7" s="25" t="str">
        <f t="shared" si="5"/>
        <v>3:0 (5,2,7)</v>
      </c>
      <c r="AD7" s="25" t="str">
        <f t="shared" si="6"/>
        <v>3:0 (5,2,7)</v>
      </c>
      <c r="AE7" s="25">
        <f t="shared" si="7"/>
        <v>2</v>
      </c>
      <c r="AF7" s="25">
        <f t="shared" si="8"/>
        <v>1</v>
      </c>
      <c r="AH7" s="25">
        <f t="shared" si="9"/>
        <v>1</v>
      </c>
      <c r="AI7" s="25">
        <f t="shared" si="9"/>
        <v>1</v>
      </c>
      <c r="AJ7" s="25">
        <f t="shared" si="9"/>
        <v>1</v>
      </c>
      <c r="AK7" s="25">
        <f t="shared" si="9"/>
        <v>0</v>
      </c>
      <c r="AL7" s="25">
        <f t="shared" si="9"/>
        <v>0</v>
      </c>
      <c r="AN7" s="25" t="str">
        <f>CONCATENATE(AP4,AP5,AP6,AP7,AP8,AP9,)</f>
        <v>&lt;TR&gt;&lt;TD width=250&gt;Sobotíková Monika - bye&lt;TD&gt;&lt;/TD&gt;&lt;/TR&gt;&lt;TR&gt;&lt;TD&gt;Plíšková Kateřina - Pilitowská Lea&lt;TD&gt;0 : 3 (-2,-6,-5)&lt;/TD&gt;&lt;/TR&gt;&lt;TR&gt;&lt;TD&gt;bye - Pilitowská Lea&lt;TD&gt;&lt;/TD&gt;&lt;/TR&gt;&lt;TR&gt;&lt;TD&gt;Sobotíková Monika - Plíšková Kateřina&lt;TD&gt;3 : 0 (5,2,7)&lt;/TD&gt;&lt;/TR&gt;&lt;TR&gt;&lt;TD&gt;Plíšková Kateřina - bye&lt;TD&gt;&lt;/TD&gt;&lt;/TR&gt;&lt;TR&gt;&lt;TD&gt;Pilitowská Lea - Sobotíková Monika&lt;TD&gt;0 : 3 (-3,-6,-5)&lt;/TD&gt;&lt;/TR&gt;</v>
      </c>
      <c r="AO7" s="25" t="str">
        <f>CONCATENATE("&lt;TR&gt;&lt;TD&gt;",A7,"&lt;TD width=200&gt;",B7,"&lt;TD&gt;",C7,"&lt;TD&gt;",D7,"&lt;TD&gt;",E7,"&lt;TD&gt;",F7,"&lt;TD&gt;",G7,"&lt;TD&gt;",H7,"&lt;/TD&gt;&lt;/TR&gt;")</f>
        <v>&lt;TR&gt;&lt;TD&gt;43&lt;TD width=200&gt;Pilitowská Lea (KST Blansko)&lt;TD&gt;0:3&lt;TD&gt;3:0&lt;TD&gt;XXX&lt;TD&gt;&lt;TD&gt;3&lt;TD&gt;2&lt;/TD&gt;&lt;/TR&gt;</v>
      </c>
      <c r="AP7" s="25" t="str">
        <f>CONCATENATE("&lt;TR&gt;&lt;TD&gt;",J7,"&lt;TD&gt;",K7,"&lt;/TD&gt;&lt;/TR&gt;")</f>
        <v>&lt;TR&gt;&lt;TD&gt;Sobotíková Monika - Plíšková Kateřina&lt;TD&gt;3 : 0 (5,2,7)&lt;/TD&gt;&lt;/TR&gt;</v>
      </c>
    </row>
    <row r="8" spans="1:42" ht="16.5" customHeight="1" thickBot="1">
      <c r="A8" s="31"/>
      <c r="B8" s="35">
        <f>IF($A8="","",CONCATENATE(VLOOKUP($A8,seznam!$A$2:$B$268,2)," (",VLOOKUP($A8,seznam!$A$2:$E$269,4),")"))</f>
      </c>
      <c r="C8" s="39">
        <f>IF(Y4+Z4=0,"",CONCATENATE(Z4,":",Y4))</f>
      </c>
      <c r="D8" s="32">
        <f>IF(Y8+Z8=0,"",CONCATENATE(Z8,":",Y8))</f>
      </c>
      <c r="E8" s="32">
        <f>IF(Y6+Z6=0,"",CONCATENATE(Y6,":",Z6))</f>
      </c>
      <c r="F8" s="33" t="s">
        <v>24</v>
      </c>
      <c r="G8" s="37">
        <f>IF(AF4+AE6+AF8=0,"",AF4+AE6+AF8)</f>
      </c>
      <c r="H8" s="33"/>
      <c r="J8" s="25" t="str">
        <f t="shared" si="0"/>
        <v>Plíšková Kateřina - bye</v>
      </c>
      <c r="K8" s="25">
        <f t="shared" si="1"/>
      </c>
      <c r="M8" s="25" t="s">
        <v>30</v>
      </c>
      <c r="N8" s="25">
        <f>A6</f>
        <v>46</v>
      </c>
      <c r="O8" s="25" t="str">
        <f>IF($N8=0,"bye",VLOOKUP($N8,seznam!$A$2:$C$268,2))</f>
        <v>Plíšková Kateřina</v>
      </c>
      <c r="P8" s="25" t="str">
        <f>IF($N8=0,"",VLOOKUP($N8,seznam!$A$2:$D$268,4))</f>
        <v>MS Brno</v>
      </c>
      <c r="Q8" s="25">
        <f>A8</f>
        <v>0</v>
      </c>
      <c r="R8" s="25" t="str">
        <f>IF($Q8=0,"bye",VLOOKUP($Q8,seznam!$A$2:$C$268,2))</f>
        <v>bye</v>
      </c>
      <c r="S8" s="25">
        <f>IF($Q8=0,"",VLOOKUP($Q8,seznam!$A$2:$D$268,4))</f>
      </c>
      <c r="T8" s="60"/>
      <c r="U8" s="61"/>
      <c r="V8" s="61"/>
      <c r="W8" s="61"/>
      <c r="X8" s="62"/>
      <c r="Y8" s="25">
        <f t="shared" si="2"/>
        <v>0</v>
      </c>
      <c r="Z8" s="25">
        <f t="shared" si="3"/>
        <v>0</v>
      </c>
      <c r="AA8" s="25">
        <f t="shared" si="4"/>
        <v>0</v>
      </c>
      <c r="AB8" s="25">
        <f>IF($AA8=0,"",VLOOKUP($AA8,seznam!$A$2:$C$268,2))</f>
      </c>
      <c r="AC8" s="25">
        <f t="shared" si="5"/>
      </c>
      <c r="AD8" s="25">
        <f t="shared" si="6"/>
      </c>
      <c r="AE8" s="25">
        <f t="shared" si="7"/>
        <v>0</v>
      </c>
      <c r="AF8" s="25">
        <f t="shared" si="8"/>
        <v>0</v>
      </c>
      <c r="AH8" s="25">
        <f t="shared" si="9"/>
        <v>0</v>
      </c>
      <c r="AI8" s="25">
        <f t="shared" si="9"/>
        <v>0</v>
      </c>
      <c r="AJ8" s="25">
        <f t="shared" si="9"/>
        <v>0</v>
      </c>
      <c r="AK8" s="25">
        <f t="shared" si="9"/>
        <v>0</v>
      </c>
      <c r="AL8" s="25">
        <f t="shared" si="9"/>
        <v>0</v>
      </c>
      <c r="AN8" s="25" t="str">
        <f>CONCATENATE("&lt;/Table&gt;&lt;/TD&gt;&lt;/TR&gt;&lt;/Table&gt;&lt;P&gt;")</f>
        <v>&lt;/Table&gt;&lt;/TD&gt;&lt;/TR&gt;&lt;/Table&gt;&lt;P&gt;</v>
      </c>
      <c r="AO8" s="25" t="str">
        <f>CONCATENATE("&lt;TR&gt;&lt;TD&gt;",A8,"&lt;TD width=200&gt;",B8,"&lt;TD&gt;",C8,"&lt;TD&gt;",D8,"&lt;TD&gt;",E8,"&lt;TD&gt;",F8,"&lt;TD&gt;",G8,"&lt;TD&gt;",H8,"&lt;/TD&gt;&lt;/TR&gt;")</f>
        <v>&lt;TR&gt;&lt;TD&gt;&lt;TD width=200&gt;&lt;TD&gt;&lt;TD&gt;&lt;TD&gt;&lt;TD&gt;XXX&lt;TD&gt;&lt;TD&gt;&lt;/TD&gt;&lt;/TR&gt;</v>
      </c>
      <c r="AP8" s="25" t="str">
        <f>CONCATENATE("&lt;TR&gt;&lt;TD&gt;",J8,"&lt;TD&gt;",K8,"&lt;/TD&gt;&lt;/TR&gt;")</f>
        <v>&lt;TR&gt;&lt;TD&gt;Plíšková Kateřina - bye&lt;TD&gt;&lt;/TD&gt;&lt;/TR&gt;</v>
      </c>
    </row>
    <row r="9" spans="10:42" ht="16.5" customHeight="1" thickBot="1" thickTop="1">
      <c r="J9" s="25" t="str">
        <f t="shared" si="0"/>
        <v>Pilitowská Lea - Sobotíková Monika</v>
      </c>
      <c r="K9" s="25" t="str">
        <f t="shared" si="1"/>
        <v>0 : 3 (-3,-6,-5)</v>
      </c>
      <c r="M9" s="25" t="s">
        <v>31</v>
      </c>
      <c r="N9" s="25">
        <f>A7</f>
        <v>43</v>
      </c>
      <c r="O9" s="25" t="str">
        <f>IF($N9=0,"bye",VLOOKUP($N9,seznam!$A$2:$C$268,2))</f>
        <v>Pilitowská Lea</v>
      </c>
      <c r="P9" s="25" t="str">
        <f>IF($N9=0,"",VLOOKUP($N9,seznam!$A$2:$D$268,4))</f>
        <v>KST Blansko</v>
      </c>
      <c r="Q9" s="25">
        <f>A5</f>
        <v>41</v>
      </c>
      <c r="R9" s="25" t="str">
        <f>IF($Q9=0,"bye",VLOOKUP($Q9,seznam!$A$2:$C$268,2))</f>
        <v>Sobotíková Monika</v>
      </c>
      <c r="S9" s="25" t="str">
        <f>IF($Q9=0,"",VLOOKUP($Q9,seznam!$A$2:$D$268,4))</f>
        <v>MS Brno</v>
      </c>
      <c r="T9" s="63" t="s">
        <v>107</v>
      </c>
      <c r="U9" s="64" t="s">
        <v>104</v>
      </c>
      <c r="V9" s="64" t="s">
        <v>109</v>
      </c>
      <c r="W9" s="64"/>
      <c r="X9" s="65"/>
      <c r="Y9" s="25">
        <f t="shared" si="2"/>
        <v>0</v>
      </c>
      <c r="Z9" s="25">
        <f t="shared" si="3"/>
        <v>3</v>
      </c>
      <c r="AA9" s="25">
        <f t="shared" si="4"/>
        <v>41</v>
      </c>
      <c r="AB9" s="25" t="str">
        <f>IF($AA9=0,"",VLOOKUP($AA9,seznam!$A$2:$C$268,2))</f>
        <v>Sobotíková Monika</v>
      </c>
      <c r="AC9" s="25" t="str">
        <f t="shared" si="5"/>
        <v>3:0 (3,6,5)</v>
      </c>
      <c r="AD9" s="25" t="str">
        <f t="shared" si="6"/>
        <v>3:0 (3,6,5)</v>
      </c>
      <c r="AE9" s="25">
        <f t="shared" si="7"/>
        <v>1</v>
      </c>
      <c r="AF9" s="25">
        <f t="shared" si="8"/>
        <v>2</v>
      </c>
      <c r="AH9" s="25">
        <f t="shared" si="9"/>
        <v>-1</v>
      </c>
      <c r="AI9" s="25">
        <f t="shared" si="9"/>
        <v>-1</v>
      </c>
      <c r="AJ9" s="25">
        <f t="shared" si="9"/>
        <v>-1</v>
      </c>
      <c r="AK9" s="25">
        <f t="shared" si="9"/>
        <v>0</v>
      </c>
      <c r="AL9" s="25">
        <f t="shared" si="9"/>
        <v>0</v>
      </c>
      <c r="AP9" s="25" t="str">
        <f>CONCATENATE("&lt;TR&gt;&lt;TD&gt;",J9,"&lt;TD&gt;",K9,"&lt;/TD&gt;&lt;/TR&gt;")</f>
        <v>&lt;TR&gt;&lt;TD&gt;Pilitowská Lea - Sobotíková Monika&lt;TD&gt;0 : 3 (-3,-6,-5)&lt;/TD&gt;&lt;/TR&gt;</v>
      </c>
    </row>
    <row r="10" spans="13:40" ht="16.5" customHeight="1" thickBot="1" thickTop="1">
      <c r="M10" s="26" t="str">
        <f>B11</f>
        <v>Skupina B</v>
      </c>
      <c r="N10" s="26" t="s">
        <v>0</v>
      </c>
      <c r="O10" s="26" t="s">
        <v>1</v>
      </c>
      <c r="P10" s="26" t="s">
        <v>2</v>
      </c>
      <c r="Q10" s="26" t="s">
        <v>0</v>
      </c>
      <c r="R10" s="26" t="s">
        <v>3</v>
      </c>
      <c r="S10" s="26" t="s">
        <v>2</v>
      </c>
      <c r="T10" s="27" t="s">
        <v>4</v>
      </c>
      <c r="U10" s="27" t="s">
        <v>5</v>
      </c>
      <c r="V10" s="27" t="s">
        <v>6</v>
      </c>
      <c r="W10" s="27" t="s">
        <v>7</v>
      </c>
      <c r="X10" s="27" t="s">
        <v>8</v>
      </c>
      <c r="Y10" s="26" t="s">
        <v>9</v>
      </c>
      <c r="Z10" s="26" t="s">
        <v>10</v>
      </c>
      <c r="AA10" s="26" t="s">
        <v>11</v>
      </c>
      <c r="AN10" s="25" t="s">
        <v>18</v>
      </c>
    </row>
    <row r="11" spans="1:42" ht="16.5" customHeight="1" thickBot="1" thickTop="1">
      <c r="A11" s="46"/>
      <c r="B11" s="47" t="s">
        <v>21</v>
      </c>
      <c r="C11" s="48">
        <v>1</v>
      </c>
      <c r="D11" s="49">
        <v>2</v>
      </c>
      <c r="E11" s="49">
        <v>3</v>
      </c>
      <c r="F11" s="50">
        <v>4</v>
      </c>
      <c r="G11" s="51" t="s">
        <v>16</v>
      </c>
      <c r="H11" s="50" t="s">
        <v>17</v>
      </c>
      <c r="J11" s="25" t="str">
        <f aca="true" t="shared" si="10" ref="J11:J16">CONCATENATE(O11," - ",R11)</f>
        <v>Dreits Anastasiia - bye</v>
      </c>
      <c r="K11" s="25">
        <f aca="true" t="shared" si="11" ref="K11:K16">IF(SUM(Y11:Z11)=0,AD11,CONCATENATE(Y11," : ",Z11," (",T11,",",U11,",",V11,IF(Y11+Z11&gt;3,",",""),W11,IF(Y11+Z11&gt;4,",",""),X11,")"))</f>
      </c>
      <c r="M11" s="25" t="s">
        <v>32</v>
      </c>
      <c r="N11" s="25">
        <f>A12</f>
        <v>42</v>
      </c>
      <c r="O11" s="25" t="str">
        <f>IF($N11=0,"bye",VLOOKUP($N11,seznam!$A$2:$C$268,2))</f>
        <v>Dreits Anastasiia</v>
      </c>
      <c r="P11" s="25" t="str">
        <f>IF($N11=0,"",VLOOKUP($N11,seznam!$A$2:$D$268,4))</f>
        <v>Tišnov</v>
      </c>
      <c r="Q11" s="25">
        <f>A15</f>
        <v>0</v>
      </c>
      <c r="R11" s="25" t="str">
        <f>IF($Q11=0,"bye",VLOOKUP($Q11,seznam!$A$2:$C$268,2))</f>
        <v>bye</v>
      </c>
      <c r="S11" s="25">
        <f>IF($Q11=0,"",VLOOKUP($Q11,seznam!$A$2:$D$268,4))</f>
      </c>
      <c r="T11" s="57"/>
      <c r="U11" s="58"/>
      <c r="V11" s="58"/>
      <c r="W11" s="58"/>
      <c r="X11" s="59"/>
      <c r="Y11" s="25">
        <f aca="true" t="shared" si="12" ref="Y11:Y16">COUNTIF(AH11:AL11,"&gt;0")</f>
        <v>0</v>
      </c>
      <c r="Z11" s="25">
        <f aca="true" t="shared" si="13" ref="Z11:Z16">COUNTIF(AH11:AL11,"&lt;0")</f>
        <v>0</v>
      </c>
      <c r="AA11" s="25">
        <f aca="true" t="shared" si="14" ref="AA11:AA16">IF(Y11=Z11,0,IF(Y11&gt;Z11,N11,Q11))</f>
        <v>0</v>
      </c>
      <c r="AB11" s="25">
        <f>IF($AA11=0,"",VLOOKUP($AA11,seznam!$A$2:$C$268,2))</f>
      </c>
      <c r="AC11" s="25">
        <f aca="true" t="shared" si="15" ref="AC11:AC16">IF(Y11=Z11,"",IF(Y11&gt;Z11,CONCATENATE(Y11,":",Z11," (",T11,",",U11,",",V11,IF(SUM(Y11:Z11)&gt;3,",",""),W11,IF(SUM(Y11:Z11)&gt;4,",",""),X11,")"),CONCATENATE(Z11,":",Y11," (",-T11,",",-U11,",",-V11,IF(SUM(Y11:Z11)&gt;3,CONCATENATE(",",-W11),""),IF(SUM(Y11:Z11)&gt;4,CONCATENATE(",",-X11),""),")")))</f>
      </c>
      <c r="AD11" s="25">
        <f aca="true" t="shared" si="16" ref="AD11:AD16">IF(SUM(Y11:Z11)=0,"",AC11)</f>
      </c>
      <c r="AE11" s="25">
        <f aca="true" t="shared" si="17" ref="AE11:AE16">IF(T11="",0,IF(Y11&gt;Z11,2,1))</f>
        <v>0</v>
      </c>
      <c r="AF11" s="25">
        <f aca="true" t="shared" si="18" ref="AF11:AF16">IF(T11="",0,IF(Z11&gt;Y11,2,1))</f>
        <v>0</v>
      </c>
      <c r="AH11" s="25">
        <f aca="true" t="shared" si="19" ref="AH11:AL16">IF(T11="",0,IF(MID(T11,1,1)="-",-1,1))</f>
        <v>0</v>
      </c>
      <c r="AI11" s="25">
        <f t="shared" si="19"/>
        <v>0</v>
      </c>
      <c r="AJ11" s="25">
        <f t="shared" si="19"/>
        <v>0</v>
      </c>
      <c r="AK11" s="25">
        <f t="shared" si="19"/>
        <v>0</v>
      </c>
      <c r="AL11" s="25">
        <f t="shared" si="19"/>
        <v>0</v>
      </c>
      <c r="AN11" s="25" t="str">
        <f>CONCATENATE("&lt;Table border=1 cellpading=0 cellspacing=0 width=480&gt;&lt;TR&gt;&lt;TH colspan=2&gt;",B11,"&lt;TH&gt;1&lt;TH&gt;2&lt;TH&gt;3&lt;TH&gt;4&lt;TH&gt;Body&lt;TH&gt;Pořadí&lt;/TH&gt;&lt;/TR&gt;")</f>
        <v>&lt;Table border=1 cellpading=0 cellspacing=0 width=480&gt;&lt;TR&gt;&lt;TH colspan=2&gt;Skupina B&lt;TH&gt;1&lt;TH&gt;2&lt;TH&gt;3&lt;TH&gt;4&lt;TH&gt;Body&lt;TH&gt;Pořadí&lt;/TH&gt;&lt;/TR&gt;</v>
      </c>
      <c r="AP11" s="25" t="str">
        <f>CONCATENATE("&lt;TR&gt;&lt;TD width=250&gt;",J11,"&lt;TD&gt;",K11,"&lt;/TD&gt;&lt;/TR&gt;")</f>
        <v>&lt;TR&gt;&lt;TD width=250&gt;Dreits Anastasiia - bye&lt;TD&gt;&lt;/TD&gt;&lt;/TR&gt;</v>
      </c>
    </row>
    <row r="12" spans="1:42" ht="16.5" customHeight="1" thickTop="1">
      <c r="A12" s="40">
        <v>42</v>
      </c>
      <c r="B12" s="41" t="str">
        <f>IF($A12="","",CONCATENATE(VLOOKUP($A12,seznam!$A$2:$B$268,2)," (",VLOOKUP($A12,seznam!$A$2:$E$269,4),")"))</f>
        <v>Dreits Anastasiia (Tišnov)</v>
      </c>
      <c r="C12" s="42" t="s">
        <v>24</v>
      </c>
      <c r="D12" s="43" t="str">
        <f>IF(Y14+Z14=0,"",CONCATENATE(Y14,":",Z14))</f>
        <v>3:0</v>
      </c>
      <c r="E12" s="43" t="str">
        <f>IF(Y16+Z16=0,"",CONCATENATE(Z16,":",Y16))</f>
        <v>3:0</v>
      </c>
      <c r="F12" s="44">
        <f>IF(Y11+Z11=0,"",CONCATENATE(Y11,":",Z11))</f>
      </c>
      <c r="G12" s="45">
        <f>IF(AE11+AE14+AF16=0,"",AE11+AE14+AF16)</f>
        <v>4</v>
      </c>
      <c r="H12" s="44">
        <v>1</v>
      </c>
      <c r="J12" s="25" t="str">
        <f t="shared" si="10"/>
        <v>Plíšková Kristýna - Hutáková Pavla </v>
      </c>
      <c r="K12" s="25" t="str">
        <f t="shared" si="11"/>
        <v>0 : 3 (-9,-1,-6)</v>
      </c>
      <c r="M12" s="25" t="s">
        <v>33</v>
      </c>
      <c r="N12" s="25">
        <f>A13</f>
        <v>47</v>
      </c>
      <c r="O12" s="25" t="str">
        <f>IF($N12=0,"bye",VLOOKUP($N12,seznam!$A$2:$C$268,2))</f>
        <v>Plíšková Kristýna</v>
      </c>
      <c r="P12" s="25" t="str">
        <f>IF($N12=0,"",VLOOKUP($N12,seznam!$A$2:$D$268,4))</f>
        <v>MS Brno</v>
      </c>
      <c r="Q12" s="25">
        <f>A14</f>
        <v>49</v>
      </c>
      <c r="R12" s="25" t="str">
        <f>IF($Q12=0,"bye",VLOOKUP($Q12,seznam!$A$2:$C$268,2))</f>
        <v>Hutáková Pavla </v>
      </c>
      <c r="S12" s="25" t="str">
        <f>IF($Q12=0,"",VLOOKUP($Q12,seznam!$A$2:$D$268,4))</f>
        <v>Klobouky u Brna</v>
      </c>
      <c r="T12" s="60" t="s">
        <v>102</v>
      </c>
      <c r="U12" s="61" t="s">
        <v>103</v>
      </c>
      <c r="V12" s="61" t="s">
        <v>104</v>
      </c>
      <c r="W12" s="61"/>
      <c r="X12" s="62"/>
      <c r="Y12" s="25">
        <f t="shared" si="12"/>
        <v>0</v>
      </c>
      <c r="Z12" s="25">
        <f t="shared" si="13"/>
        <v>3</v>
      </c>
      <c r="AA12" s="25">
        <f t="shared" si="14"/>
        <v>49</v>
      </c>
      <c r="AB12" s="25" t="str">
        <f>IF($AA12=0,"",VLOOKUP($AA12,seznam!$A$2:$C$268,2))</f>
        <v>Hutáková Pavla </v>
      </c>
      <c r="AC12" s="25" t="str">
        <f t="shared" si="15"/>
        <v>3:0 (9,1,6)</v>
      </c>
      <c r="AD12" s="25" t="str">
        <f t="shared" si="16"/>
        <v>3:0 (9,1,6)</v>
      </c>
      <c r="AE12" s="25">
        <f t="shared" si="17"/>
        <v>1</v>
      </c>
      <c r="AF12" s="25">
        <f t="shared" si="18"/>
        <v>2</v>
      </c>
      <c r="AH12" s="25">
        <f t="shared" si="19"/>
        <v>-1</v>
      </c>
      <c r="AI12" s="25">
        <f t="shared" si="19"/>
        <v>-1</v>
      </c>
      <c r="AJ12" s="25">
        <f t="shared" si="19"/>
        <v>-1</v>
      </c>
      <c r="AK12" s="25">
        <f t="shared" si="19"/>
        <v>0</v>
      </c>
      <c r="AL12" s="25">
        <f t="shared" si="19"/>
        <v>0</v>
      </c>
      <c r="AN12" s="25" t="str">
        <f>CONCATENATE(AO12,AO13,AO14,AO15,)</f>
        <v>&lt;TR&gt;&lt;TD&gt;42&lt;TD width=200&gt;Dreits Anastasiia (Tišnov)&lt;TD&gt;XXX&lt;TD&gt;3:0&lt;TD&gt;3:0&lt;TD&gt;&lt;TD&gt;4&lt;TD&gt;1&lt;/TD&gt;&lt;/TR&gt;&lt;TR&gt;&lt;TD&gt;47&lt;TD width=200&gt;Plíšková Kristýna (MS Brno)&lt;TD&gt;0:3&lt;TD&gt;XXX&lt;TD&gt;0:3&lt;TD&gt;&lt;TD&gt;2&lt;TD&gt;3&lt;/TD&gt;&lt;/TR&gt;&lt;TR&gt;&lt;TD&gt;49&lt;TD width=200&gt;Hutáková Pavla  (Klobouky u Brna)&lt;TD&gt;0:3&lt;TD&gt;3:0&lt;TD&gt;XXX&lt;TD&gt;&lt;TD&gt;3&lt;TD&gt;2&lt;/TD&gt;&lt;/TR&gt;&lt;TR&gt;&lt;TD&gt;&lt;TD width=200&gt;&lt;TD&gt;&lt;TD&gt;&lt;TD&gt;&lt;TD&gt;XXX&lt;TD&gt;&lt;TD&gt;&lt;/TD&gt;&lt;/TR&gt;</v>
      </c>
      <c r="AO12" s="25" t="str">
        <f>CONCATENATE("&lt;TR&gt;&lt;TD&gt;",A12,"&lt;TD width=200&gt;",B12,"&lt;TD&gt;",C12,"&lt;TD&gt;",D12,"&lt;TD&gt;",E12,"&lt;TD&gt;",F12,"&lt;TD&gt;",G12,"&lt;TD&gt;",H12,"&lt;/TD&gt;&lt;/TR&gt;")</f>
        <v>&lt;TR&gt;&lt;TD&gt;42&lt;TD width=200&gt;Dreits Anastasiia (Tišnov)&lt;TD&gt;XXX&lt;TD&gt;3:0&lt;TD&gt;3:0&lt;TD&gt;&lt;TD&gt;4&lt;TD&gt;1&lt;/TD&gt;&lt;/TR&gt;</v>
      </c>
      <c r="AP12" s="25" t="str">
        <f>CONCATENATE("&lt;TR&gt;&lt;TD&gt;",J12,"&lt;TD&gt;",K12,"&lt;/TD&gt;&lt;/TR&gt;")</f>
        <v>&lt;TR&gt;&lt;TD&gt;Plíšková Kristýna - Hutáková Pavla &lt;TD&gt;0 : 3 (-9,-1,-6)&lt;/TD&gt;&lt;/TR&gt;</v>
      </c>
    </row>
    <row r="13" spans="1:42" ht="16.5" customHeight="1">
      <c r="A13" s="28">
        <v>47</v>
      </c>
      <c r="B13" s="34" t="str">
        <f>IF($A13="","",CONCATENATE(VLOOKUP($A13,seznam!$A$2:$B$268,2)," (",VLOOKUP($A13,seznam!$A$2:$E$269,4),")"))</f>
        <v>Plíšková Kristýna (MS Brno)</v>
      </c>
      <c r="C13" s="38" t="str">
        <f>IF(Y14+Z14=0,"",CONCATENATE(Z14,":",Y14))</f>
        <v>0:3</v>
      </c>
      <c r="D13" s="29" t="s">
        <v>24</v>
      </c>
      <c r="E13" s="29" t="str">
        <f>IF(Y12+Z12=0,"",CONCATENATE(Y12,":",Z12))</f>
        <v>0:3</v>
      </c>
      <c r="F13" s="30">
        <f>IF(Y15+Z15=0,"",CONCATENATE(Y15,":",Z15))</f>
      </c>
      <c r="G13" s="36">
        <f>IF(AE12+AF14+AE15=0,"",AE12+AF14+AE15)</f>
        <v>2</v>
      </c>
      <c r="H13" s="30">
        <v>3</v>
      </c>
      <c r="J13" s="25" t="str">
        <f t="shared" si="10"/>
        <v>bye - Hutáková Pavla </v>
      </c>
      <c r="K13" s="25">
        <f t="shared" si="11"/>
      </c>
      <c r="M13" s="25" t="s">
        <v>34</v>
      </c>
      <c r="N13" s="25">
        <f>A15</f>
        <v>0</v>
      </c>
      <c r="O13" s="25" t="str">
        <f>IF($N13=0,"bye",VLOOKUP($N13,seznam!$A$2:$C$268,2))</f>
        <v>bye</v>
      </c>
      <c r="P13" s="25">
        <f>IF($N13=0,"",VLOOKUP($N13,seznam!$A$2:$D$268,4))</f>
      </c>
      <c r="Q13" s="25">
        <f>A14</f>
        <v>49</v>
      </c>
      <c r="R13" s="25" t="str">
        <f>IF($Q13=0,"bye",VLOOKUP($Q13,seznam!$A$2:$C$268,2))</f>
        <v>Hutáková Pavla </v>
      </c>
      <c r="S13" s="25" t="str">
        <f>IF($Q13=0,"",VLOOKUP($Q13,seznam!$A$2:$D$268,4))</f>
        <v>Klobouky u Brna</v>
      </c>
      <c r="T13" s="60"/>
      <c r="U13" s="61"/>
      <c r="V13" s="61"/>
      <c r="W13" s="61"/>
      <c r="X13" s="62"/>
      <c r="Y13" s="25">
        <f t="shared" si="12"/>
        <v>0</v>
      </c>
      <c r="Z13" s="25">
        <f t="shared" si="13"/>
        <v>0</v>
      </c>
      <c r="AA13" s="25">
        <f t="shared" si="14"/>
        <v>0</v>
      </c>
      <c r="AB13" s="25">
        <f>IF($AA13=0,"",VLOOKUP($AA13,seznam!$A$2:$C$268,2))</f>
      </c>
      <c r="AC13" s="25">
        <f t="shared" si="15"/>
      </c>
      <c r="AD13" s="25">
        <f t="shared" si="16"/>
      </c>
      <c r="AE13" s="25">
        <f t="shared" si="17"/>
        <v>0</v>
      </c>
      <c r="AF13" s="25">
        <f t="shared" si="18"/>
        <v>0</v>
      </c>
      <c r="AH13" s="25">
        <f t="shared" si="19"/>
        <v>0</v>
      </c>
      <c r="AI13" s="25">
        <f t="shared" si="19"/>
        <v>0</v>
      </c>
      <c r="AJ13" s="25">
        <f t="shared" si="19"/>
        <v>0</v>
      </c>
      <c r="AK13" s="25">
        <f t="shared" si="19"/>
        <v>0</v>
      </c>
      <c r="AL13" s="25">
        <f t="shared" si="19"/>
        <v>0</v>
      </c>
      <c r="AN13" s="25" t="str">
        <f>CONCATENATE("&lt;/Table&gt;&lt;TD width=420&gt;&lt;Table&gt;")</f>
        <v>&lt;/Table&gt;&lt;TD width=420&gt;&lt;Table&gt;</v>
      </c>
      <c r="AO13" s="25" t="str">
        <f>CONCATENATE("&lt;TR&gt;&lt;TD&gt;",A13,"&lt;TD width=200&gt;",B13,"&lt;TD&gt;",C13,"&lt;TD&gt;",D13,"&lt;TD&gt;",E13,"&lt;TD&gt;",F13,"&lt;TD&gt;",G13,"&lt;TD&gt;",H13,"&lt;/TD&gt;&lt;/TR&gt;")</f>
        <v>&lt;TR&gt;&lt;TD&gt;47&lt;TD width=200&gt;Plíšková Kristýna (MS Brno)&lt;TD&gt;0:3&lt;TD&gt;XXX&lt;TD&gt;0:3&lt;TD&gt;&lt;TD&gt;2&lt;TD&gt;3&lt;/TD&gt;&lt;/TR&gt;</v>
      </c>
      <c r="AP13" s="25" t="str">
        <f>CONCATENATE("&lt;TR&gt;&lt;TD&gt;",J13,"&lt;TD&gt;",K13,"&lt;/TD&gt;&lt;/TR&gt;")</f>
        <v>&lt;TR&gt;&lt;TD&gt;bye - Hutáková Pavla &lt;TD&gt;&lt;/TD&gt;&lt;/TR&gt;</v>
      </c>
    </row>
    <row r="14" spans="1:42" ht="16.5" customHeight="1">
      <c r="A14" s="28">
        <v>49</v>
      </c>
      <c r="B14" s="34" t="str">
        <f>IF($A14="","",CONCATENATE(VLOOKUP($A14,seznam!$A$2:$B$268,2)," (",VLOOKUP($A14,seznam!$A$2:$E$269,4),")"))</f>
        <v>Hutáková Pavla  (Klobouky u Brna)</v>
      </c>
      <c r="C14" s="38" t="str">
        <f>IF(Y16+Z16=0,"",CONCATENATE(Y16,":",Z16))</f>
        <v>0:3</v>
      </c>
      <c r="D14" s="29" t="str">
        <f>IF(Y12+Z12=0,"",CONCATENATE(Z12,":",Y12))</f>
        <v>3:0</v>
      </c>
      <c r="E14" s="29" t="s">
        <v>24</v>
      </c>
      <c r="F14" s="30">
        <f>IF(Y13+Z13=0,"",CONCATENATE(Z13,":",Y13))</f>
      </c>
      <c r="G14" s="36">
        <f>IF(AF12+AF13+AE16=0,"",AF12+AF13+AE16)</f>
        <v>3</v>
      </c>
      <c r="H14" s="30">
        <v>2</v>
      </c>
      <c r="J14" s="25" t="str">
        <f t="shared" si="10"/>
        <v>Dreits Anastasiia - Plíšková Kristýna</v>
      </c>
      <c r="K14" s="25" t="str">
        <f t="shared" si="11"/>
        <v>3 : 0 (4,9,1)</v>
      </c>
      <c r="M14" s="25" t="s">
        <v>35</v>
      </c>
      <c r="N14" s="25">
        <f>A12</f>
        <v>42</v>
      </c>
      <c r="O14" s="25" t="str">
        <f>IF($N14=0,"bye",VLOOKUP($N14,seznam!$A$2:$C$268,2))</f>
        <v>Dreits Anastasiia</v>
      </c>
      <c r="P14" s="25" t="str">
        <f>IF($N14=0,"",VLOOKUP($N14,seznam!$A$2:$D$268,4))</f>
        <v>Tišnov</v>
      </c>
      <c r="Q14" s="25">
        <f>A13</f>
        <v>47</v>
      </c>
      <c r="R14" s="25" t="str">
        <f>IF($Q14=0,"bye",VLOOKUP($Q14,seznam!$A$2:$C$268,2))</f>
        <v>Plíšková Kristýna</v>
      </c>
      <c r="S14" s="25" t="str">
        <f>IF($Q14=0,"",VLOOKUP($Q14,seznam!$A$2:$D$268,4))</f>
        <v>MS Brno</v>
      </c>
      <c r="T14" s="60" t="s">
        <v>105</v>
      </c>
      <c r="U14" s="61" t="s">
        <v>101</v>
      </c>
      <c r="V14" s="61" t="s">
        <v>93</v>
      </c>
      <c r="W14" s="61"/>
      <c r="X14" s="62"/>
      <c r="Y14" s="25">
        <f t="shared" si="12"/>
        <v>3</v>
      </c>
      <c r="Z14" s="25">
        <f t="shared" si="13"/>
        <v>0</v>
      </c>
      <c r="AA14" s="25">
        <f t="shared" si="14"/>
        <v>42</v>
      </c>
      <c r="AB14" s="25" t="str">
        <f>IF($AA14=0,"",VLOOKUP($AA14,seznam!$A$2:$C$268,2))</f>
        <v>Dreits Anastasiia</v>
      </c>
      <c r="AC14" s="25" t="str">
        <f t="shared" si="15"/>
        <v>3:0 (4,9,1)</v>
      </c>
      <c r="AD14" s="25" t="str">
        <f t="shared" si="16"/>
        <v>3:0 (4,9,1)</v>
      </c>
      <c r="AE14" s="25">
        <f t="shared" si="17"/>
        <v>2</v>
      </c>
      <c r="AF14" s="25">
        <f t="shared" si="18"/>
        <v>1</v>
      </c>
      <c r="AH14" s="25">
        <f t="shared" si="19"/>
        <v>1</v>
      </c>
      <c r="AI14" s="25">
        <f t="shared" si="19"/>
        <v>1</v>
      </c>
      <c r="AJ14" s="25">
        <f t="shared" si="19"/>
        <v>1</v>
      </c>
      <c r="AK14" s="25">
        <f t="shared" si="19"/>
        <v>0</v>
      </c>
      <c r="AL14" s="25">
        <f t="shared" si="19"/>
        <v>0</v>
      </c>
      <c r="AN14" s="25" t="str">
        <f>CONCATENATE(AP11,AP12,AP13,AP14,AP15,AP16,)</f>
        <v>&lt;TR&gt;&lt;TD width=250&gt;Dreits Anastasiia - bye&lt;TD&gt;&lt;/TD&gt;&lt;/TR&gt;&lt;TR&gt;&lt;TD&gt;Plíšková Kristýna - Hutáková Pavla &lt;TD&gt;0 : 3 (-9,-1,-6)&lt;/TD&gt;&lt;/TR&gt;&lt;TR&gt;&lt;TD&gt;bye - Hutáková Pavla &lt;TD&gt;&lt;/TD&gt;&lt;/TR&gt;&lt;TR&gt;&lt;TD&gt;Dreits Anastasiia - Plíšková Kristýna&lt;TD&gt;3 : 0 (4,9,1)&lt;/TD&gt;&lt;/TR&gt;&lt;TR&gt;&lt;TD&gt;Plíšková Kristýna - bye&lt;TD&gt;&lt;/TD&gt;&lt;/TR&gt;&lt;TR&gt;&lt;TD&gt;Hutáková Pavla  - Dreits Anastasiia&lt;TD&gt;0 : 3 (-8,-7,-5)&lt;/TD&gt;&lt;/TR&gt;</v>
      </c>
      <c r="AO14" s="25" t="str">
        <f>CONCATENATE("&lt;TR&gt;&lt;TD&gt;",A14,"&lt;TD width=200&gt;",B14,"&lt;TD&gt;",C14,"&lt;TD&gt;",D14,"&lt;TD&gt;",E14,"&lt;TD&gt;",F14,"&lt;TD&gt;",G14,"&lt;TD&gt;",H14,"&lt;/TD&gt;&lt;/TR&gt;")</f>
        <v>&lt;TR&gt;&lt;TD&gt;49&lt;TD width=200&gt;Hutáková Pavla  (Klobouky u Brna)&lt;TD&gt;0:3&lt;TD&gt;3:0&lt;TD&gt;XXX&lt;TD&gt;&lt;TD&gt;3&lt;TD&gt;2&lt;/TD&gt;&lt;/TR&gt;</v>
      </c>
      <c r="AP14" s="25" t="str">
        <f>CONCATENATE("&lt;TR&gt;&lt;TD&gt;",J14,"&lt;TD&gt;",K14,"&lt;/TD&gt;&lt;/TR&gt;")</f>
        <v>&lt;TR&gt;&lt;TD&gt;Dreits Anastasiia - Plíšková Kristýna&lt;TD&gt;3 : 0 (4,9,1)&lt;/TD&gt;&lt;/TR&gt;</v>
      </c>
    </row>
    <row r="15" spans="1:42" ht="16.5" customHeight="1" thickBot="1">
      <c r="A15" s="31"/>
      <c r="B15" s="35">
        <f>IF($A15="","",CONCATENATE(VLOOKUP($A15,seznam!$A$2:$B$268,2)," (",VLOOKUP($A15,seznam!$A$2:$E$269,4),")"))</f>
      </c>
      <c r="C15" s="39">
        <f>IF(Y11+Z11=0,"",CONCATENATE(Z11,":",Y11))</f>
      </c>
      <c r="D15" s="32">
        <f>IF(Y15+Z15=0,"",CONCATENATE(Z15,":",Y15))</f>
      </c>
      <c r="E15" s="32">
        <f>IF(Y13+Z13=0,"",CONCATENATE(Y13,":",Z13))</f>
      </c>
      <c r="F15" s="33" t="s">
        <v>24</v>
      </c>
      <c r="G15" s="37">
        <f>IF(AF11+AE13+AF15=0,"",AF11+AE13+AF15)</f>
      </c>
      <c r="H15" s="33"/>
      <c r="J15" s="25" t="str">
        <f t="shared" si="10"/>
        <v>Plíšková Kristýna - bye</v>
      </c>
      <c r="K15" s="25">
        <f t="shared" si="11"/>
      </c>
      <c r="M15" s="25" t="s">
        <v>36</v>
      </c>
      <c r="N15" s="25">
        <f>A13</f>
        <v>47</v>
      </c>
      <c r="O15" s="25" t="str">
        <f>IF($N15=0,"bye",VLOOKUP($N15,seznam!$A$2:$C$268,2))</f>
        <v>Plíšková Kristýna</v>
      </c>
      <c r="P15" s="25" t="str">
        <f>IF($N15=0,"",VLOOKUP($N15,seznam!$A$2:$D$268,4))</f>
        <v>MS Brno</v>
      </c>
      <c r="Q15" s="25">
        <f>A15</f>
        <v>0</v>
      </c>
      <c r="R15" s="25" t="str">
        <f>IF($Q15=0,"bye",VLOOKUP($Q15,seznam!$A$2:$C$268,2))</f>
        <v>bye</v>
      </c>
      <c r="S15" s="25">
        <f>IF($Q15=0,"",VLOOKUP($Q15,seznam!$A$2:$D$268,4))</f>
      </c>
      <c r="T15" s="60"/>
      <c r="U15" s="61"/>
      <c r="V15" s="61"/>
      <c r="W15" s="61"/>
      <c r="X15" s="62"/>
      <c r="Y15" s="25">
        <f t="shared" si="12"/>
        <v>0</v>
      </c>
      <c r="Z15" s="25">
        <f t="shared" si="13"/>
        <v>0</v>
      </c>
      <c r="AA15" s="25">
        <f t="shared" si="14"/>
        <v>0</v>
      </c>
      <c r="AB15" s="25">
        <f>IF($AA15=0,"",VLOOKUP($AA15,seznam!$A$2:$C$268,2))</f>
      </c>
      <c r="AC15" s="25">
        <f t="shared" si="15"/>
      </c>
      <c r="AD15" s="25">
        <f t="shared" si="16"/>
      </c>
      <c r="AE15" s="25">
        <f t="shared" si="17"/>
        <v>0</v>
      </c>
      <c r="AF15" s="25">
        <f t="shared" si="18"/>
        <v>0</v>
      </c>
      <c r="AH15" s="25">
        <f t="shared" si="19"/>
        <v>0</v>
      </c>
      <c r="AI15" s="25">
        <f t="shared" si="19"/>
        <v>0</v>
      </c>
      <c r="AJ15" s="25">
        <f t="shared" si="19"/>
        <v>0</v>
      </c>
      <c r="AK15" s="25">
        <f t="shared" si="19"/>
        <v>0</v>
      </c>
      <c r="AL15" s="25">
        <f t="shared" si="19"/>
        <v>0</v>
      </c>
      <c r="AN15" s="25" t="str">
        <f>CONCATENATE("&lt;/Table&gt;&lt;/TD&gt;&lt;/TR&gt;&lt;/Table&gt;&lt;P&gt;")</f>
        <v>&lt;/Table&gt;&lt;/TD&gt;&lt;/TR&gt;&lt;/Table&gt;&lt;P&gt;</v>
      </c>
      <c r="AO15" s="25" t="str">
        <f>CONCATENATE("&lt;TR&gt;&lt;TD&gt;",A15,"&lt;TD width=200&gt;",B15,"&lt;TD&gt;",C15,"&lt;TD&gt;",D15,"&lt;TD&gt;",E15,"&lt;TD&gt;",F15,"&lt;TD&gt;",G15,"&lt;TD&gt;",H15,"&lt;/TD&gt;&lt;/TR&gt;")</f>
        <v>&lt;TR&gt;&lt;TD&gt;&lt;TD width=200&gt;&lt;TD&gt;&lt;TD&gt;&lt;TD&gt;&lt;TD&gt;XXX&lt;TD&gt;&lt;TD&gt;&lt;/TD&gt;&lt;/TR&gt;</v>
      </c>
      <c r="AP15" s="25" t="str">
        <f>CONCATENATE("&lt;TR&gt;&lt;TD&gt;",J15,"&lt;TD&gt;",K15,"&lt;/TD&gt;&lt;/TR&gt;")</f>
        <v>&lt;TR&gt;&lt;TD&gt;Plíšková Kristýna - bye&lt;TD&gt;&lt;/TD&gt;&lt;/TR&gt;</v>
      </c>
    </row>
    <row r="16" spans="10:42" ht="16.5" customHeight="1" thickBot="1" thickTop="1">
      <c r="J16" s="25" t="str">
        <f t="shared" si="10"/>
        <v>Hutáková Pavla  - Dreits Anastasiia</v>
      </c>
      <c r="K16" s="25" t="str">
        <f t="shared" si="11"/>
        <v>0 : 3 (-8,-7,-5)</v>
      </c>
      <c r="M16" s="25" t="s">
        <v>37</v>
      </c>
      <c r="N16" s="25">
        <f>A14</f>
        <v>49</v>
      </c>
      <c r="O16" s="25" t="str">
        <f>IF($N16=0,"bye",VLOOKUP($N16,seznam!$A$2:$C$268,2))</f>
        <v>Hutáková Pavla </v>
      </c>
      <c r="P16" s="25" t="str">
        <f>IF($N16=0,"",VLOOKUP($N16,seznam!$A$2:$D$268,4))</f>
        <v>Klobouky u Brna</v>
      </c>
      <c r="Q16" s="25">
        <f>A12</f>
        <v>42</v>
      </c>
      <c r="R16" s="25" t="str">
        <f>IF($Q16=0,"bye",VLOOKUP($Q16,seznam!$A$2:$C$268,2))</f>
        <v>Dreits Anastasiia</v>
      </c>
      <c r="S16" s="25" t="str">
        <f>IF($Q16=0,"",VLOOKUP($Q16,seznam!$A$2:$D$268,4))</f>
        <v>Tišnov</v>
      </c>
      <c r="T16" s="63" t="s">
        <v>114</v>
      </c>
      <c r="U16" s="64" t="s">
        <v>108</v>
      </c>
      <c r="V16" s="64" t="s">
        <v>109</v>
      </c>
      <c r="W16" s="64"/>
      <c r="X16" s="65"/>
      <c r="Y16" s="25">
        <f t="shared" si="12"/>
        <v>0</v>
      </c>
      <c r="Z16" s="25">
        <f t="shared" si="13"/>
        <v>3</v>
      </c>
      <c r="AA16" s="25">
        <f t="shared" si="14"/>
        <v>42</v>
      </c>
      <c r="AB16" s="25" t="str">
        <f>IF($AA16=0,"",VLOOKUP($AA16,seznam!$A$2:$C$268,2))</f>
        <v>Dreits Anastasiia</v>
      </c>
      <c r="AC16" s="25" t="str">
        <f t="shared" si="15"/>
        <v>3:0 (8,7,5)</v>
      </c>
      <c r="AD16" s="25" t="str">
        <f t="shared" si="16"/>
        <v>3:0 (8,7,5)</v>
      </c>
      <c r="AE16" s="25">
        <f t="shared" si="17"/>
        <v>1</v>
      </c>
      <c r="AF16" s="25">
        <f t="shared" si="18"/>
        <v>2</v>
      </c>
      <c r="AH16" s="25">
        <f t="shared" si="19"/>
        <v>-1</v>
      </c>
      <c r="AI16" s="25">
        <f t="shared" si="19"/>
        <v>-1</v>
      </c>
      <c r="AJ16" s="25">
        <f t="shared" si="19"/>
        <v>-1</v>
      </c>
      <c r="AK16" s="25">
        <f t="shared" si="19"/>
        <v>0</v>
      </c>
      <c r="AL16" s="25">
        <f t="shared" si="19"/>
        <v>0</v>
      </c>
      <c r="AP16" s="25" t="str">
        <f>CONCATENATE("&lt;TR&gt;&lt;TD&gt;",J16,"&lt;TD&gt;",K16,"&lt;/TD&gt;&lt;/TR&gt;")</f>
        <v>&lt;TR&gt;&lt;TD&gt;Hutáková Pavla  - Dreits Anastasiia&lt;TD&gt;0 : 3 (-8,-7,-5)&lt;/TD&gt;&lt;/TR&gt;</v>
      </c>
    </row>
    <row r="17" ht="15" customHeight="1" thickTop="1"/>
  </sheetData>
  <sheetProtection/>
  <printOptions/>
  <pageMargins left="0.5905511811023623" right="0.5905511811023623" top="0.5905511811023623" bottom="0.3937007874015748" header="0.5118110236220472" footer="3.661417322834646"/>
  <pageSetup horizontalDpi="300" verticalDpi="300" orientation="landscape" paperSize="9" scale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80" zoomScaleNormal="75" zoomScaleSheetLayoutView="80" zoomScalePageLayoutView="0" workbookViewId="0" topLeftCell="A1">
      <selection activeCell="F19" sqref="F19"/>
    </sheetView>
  </sheetViews>
  <sheetFormatPr defaultColWidth="9.125" defaultRowHeight="12.75"/>
  <cols>
    <col min="1" max="1" width="2.625" style="2" bestFit="1" customWidth="1"/>
    <col min="2" max="2" width="5.00390625" style="2" customWidth="1"/>
    <col min="3" max="3" width="34.375" style="2" bestFit="1" customWidth="1"/>
    <col min="4" max="4" width="0.875" style="2" customWidth="1"/>
    <col min="5" max="8" width="31.50390625" style="2" customWidth="1"/>
    <col min="9" max="16384" width="9.125" style="2" customWidth="1"/>
  </cols>
  <sheetData>
    <row r="1" spans="1:10" ht="27" customHeight="1">
      <c r="A1" s="3"/>
      <c r="B1" s="87" t="s">
        <v>91</v>
      </c>
      <c r="H1" s="25"/>
      <c r="I1" s="25"/>
      <c r="J1" s="88" t="s">
        <v>89</v>
      </c>
    </row>
    <row r="2" spans="2:8" ht="21" customHeight="1">
      <c r="B2" s="81"/>
      <c r="H2" s="20"/>
    </row>
    <row r="3" spans="4:8" ht="13.5">
      <c r="D3" s="4"/>
      <c r="H3" s="82"/>
    </row>
    <row r="4" spans="1:3" ht="15" customHeight="1">
      <c r="A4" s="2">
        <v>1</v>
      </c>
      <c r="B4" s="5">
        <v>1</v>
      </c>
      <c r="C4" s="5" t="str">
        <f>IF($B4="","bye",CONCATENATE(VLOOKUP($B4,seznam!$A$2:$E$269,2)," (",VLOOKUP($B4,seznam!$A$2:$E$269,4),")"))</f>
        <v>Nespěšný Hynek (MS Brno)</v>
      </c>
    </row>
    <row r="5" spans="4:5" ht="15" customHeight="1">
      <c r="D5" s="13"/>
      <c r="E5" s="5" t="s">
        <v>59</v>
      </c>
    </row>
    <row r="6" spans="1:7" ht="15" customHeight="1">
      <c r="A6" s="2">
        <v>2</v>
      </c>
      <c r="B6" s="5"/>
      <c r="C6" s="5" t="str">
        <f>IF($B6="","bye",CONCATENATE(VLOOKUP($B6,seznam!$A$2:$E$269,2)," (",VLOOKUP($B6,seznam!$A$2:$E$269,4),")"))</f>
        <v>bye</v>
      </c>
      <c r="D6" s="14"/>
      <c r="E6" s="6">
        <f>'výsl. žáci'!R2</f>
      </c>
      <c r="G6" s="100"/>
    </row>
    <row r="7" spans="4:7" ht="15" customHeight="1">
      <c r="D7" s="15"/>
      <c r="E7" s="8"/>
      <c r="F7" s="95" t="s">
        <v>59</v>
      </c>
      <c r="G7" s="100"/>
    </row>
    <row r="8" spans="1:7" ht="15" customHeight="1">
      <c r="A8" s="2">
        <v>3</v>
      </c>
      <c r="B8" s="5"/>
      <c r="C8" s="5" t="str">
        <f>IF($B8="","bye",CONCATENATE(VLOOKUP($B8,seznam!$A$2:$E$269,2)," (",VLOOKUP($B8,seznam!$A$2:$E$269,4),")"))</f>
        <v>bye</v>
      </c>
      <c r="D8" s="12"/>
      <c r="E8" s="8"/>
      <c r="F8" s="6">
        <f>'výsl. žáci'!R11</f>
      </c>
      <c r="G8" s="100"/>
    </row>
    <row r="9" spans="4:7" ht="15" customHeight="1">
      <c r="D9" s="13"/>
      <c r="E9" s="7">
        <f>'výsl. žáci'!P3</f>
      </c>
      <c r="F9" s="8"/>
      <c r="G9" s="100"/>
    </row>
    <row r="10" spans="1:7" ht="15" customHeight="1">
      <c r="A10" s="2">
        <v>4</v>
      </c>
      <c r="B10" s="5"/>
      <c r="C10" s="5" t="str">
        <f>IF($B10="","bye",CONCATENATE(VLOOKUP($B10,seznam!$A$2:$E$269,2)," (",VLOOKUP($B10,seznam!$A$2:$E$269,4),")"))</f>
        <v>bye</v>
      </c>
      <c r="D10" s="14"/>
      <c r="E10" s="2">
        <f>'výsl. žáci'!R3</f>
      </c>
      <c r="F10" s="8"/>
      <c r="G10" s="100"/>
    </row>
    <row r="11" spans="4:7" ht="15" customHeight="1">
      <c r="D11" s="15"/>
      <c r="F11" s="8"/>
      <c r="G11" s="95" t="str">
        <f>'výsl. žáci'!P16</f>
        <v>Nespěšný Hynek</v>
      </c>
    </row>
    <row r="12" spans="1:7" ht="15" customHeight="1">
      <c r="A12" s="2">
        <v>5</v>
      </c>
      <c r="B12" s="5">
        <v>4</v>
      </c>
      <c r="C12" s="5" t="str">
        <f>IF($B12="","bye",CONCATENATE(VLOOKUP($B12,seznam!$A$2:$E$269,2)," (",VLOOKUP($B12,seznam!$A$2:$E$269,4),")"))</f>
        <v>Vincenec Oliver (KST Vyškov)</v>
      </c>
      <c r="D12" s="12"/>
      <c r="F12" s="8"/>
      <c r="G12" s="98" t="str">
        <f>'výsl. žáci'!R16</f>
        <v>3:2 (6,-9,-3,6,3)</v>
      </c>
    </row>
    <row r="13" spans="4:7" ht="15" customHeight="1">
      <c r="D13" s="13"/>
      <c r="E13" s="5" t="str">
        <f>'výsl. žáci'!P4</f>
        <v>Vincenec Oliver</v>
      </c>
      <c r="F13" s="8"/>
      <c r="G13" s="99"/>
    </row>
    <row r="14" spans="1:7" ht="15" customHeight="1">
      <c r="A14" s="2">
        <v>6</v>
      </c>
      <c r="B14" s="5"/>
      <c r="C14" s="5" t="str">
        <f>IF($B14="","bye",CONCATENATE(VLOOKUP($B14,seznam!$A$2:$E$269,2)," (",VLOOKUP($B14,seznam!$A$2:$E$269,4),")"))</f>
        <v>bye</v>
      </c>
      <c r="D14" s="14"/>
      <c r="E14" s="6">
        <f>'výsl. žáci'!R4</f>
      </c>
      <c r="F14" s="99"/>
      <c r="G14" s="99"/>
    </row>
    <row r="15" spans="4:7" ht="15" customHeight="1">
      <c r="D15" s="15"/>
      <c r="E15" s="8"/>
      <c r="F15" s="94" t="str">
        <f>'výsl. žáci'!P12</f>
        <v>Vincenec Oliver</v>
      </c>
      <c r="G15" s="99"/>
    </row>
    <row r="16" spans="1:7" ht="15" customHeight="1">
      <c r="A16" s="2">
        <v>7</v>
      </c>
      <c r="B16" s="5"/>
      <c r="C16" s="5" t="str">
        <f>IF($B16="","bye",CONCATENATE(VLOOKUP($B16,seznam!$A$2:$E$269,2)," (",VLOOKUP($B16,seznam!$A$2:$E$269,4),")"))</f>
        <v>bye</v>
      </c>
      <c r="D16" s="12"/>
      <c r="E16" s="8"/>
      <c r="F16" s="100" t="str">
        <f>'výsl. žáci'!R12</f>
        <v>3:0 (8,4,7)</v>
      </c>
      <c r="G16" s="99"/>
    </row>
    <row r="17" spans="4:7" ht="15" customHeight="1">
      <c r="D17" s="13"/>
      <c r="E17" s="7" t="str">
        <f>'výsl. žáci'!P5</f>
        <v>Horníček Lukáš</v>
      </c>
      <c r="G17" s="99"/>
    </row>
    <row r="18" spans="1:7" ht="15" customHeight="1">
      <c r="A18" s="2">
        <v>8</v>
      </c>
      <c r="B18" s="5">
        <v>5</v>
      </c>
      <c r="C18" s="5" t="str">
        <f>IF($B18="","bye",CONCATENATE(VLOOKUP($B18,seznam!$A$2:$E$269,2)," (",VLOOKUP($B18,seznam!$A$2:$E$269,4),")"))</f>
        <v>Horníček Lukáš (MS Brno)</v>
      </c>
      <c r="D18" s="14"/>
      <c r="E18" s="2">
        <f>'výsl. žáci'!R5</f>
      </c>
      <c r="G18" s="99"/>
    </row>
    <row r="19" spans="4:8" ht="15" customHeight="1">
      <c r="D19" s="15"/>
      <c r="G19" s="99"/>
      <c r="H19" s="11" t="str">
        <f>'výsl. žáci'!P19</f>
        <v>Nespěšný Hynek</v>
      </c>
    </row>
    <row r="20" spans="1:8" ht="15" customHeight="1">
      <c r="A20" s="2">
        <v>9</v>
      </c>
      <c r="B20" s="5">
        <v>3</v>
      </c>
      <c r="C20" s="5" t="str">
        <f>IF($B20="","bye",CONCATENATE(VLOOKUP($B20,seznam!$A$2:$E$269,2)," (",VLOOKUP($B20,seznam!$A$2:$E$269,4),")"))</f>
        <v>Drápal Mětoděj (MS Brno)</v>
      </c>
      <c r="D20" s="12"/>
      <c r="G20" s="99"/>
      <c r="H20" s="78" t="str">
        <f>'výsl. žáci'!R19</f>
        <v>3:0 (5,8,10)</v>
      </c>
    </row>
    <row r="21" spans="4:7" ht="15" customHeight="1">
      <c r="D21" s="13"/>
      <c r="E21" s="5" t="str">
        <f>'výsl. žáci'!P6</f>
        <v>Drápal Mětoděj</v>
      </c>
      <c r="G21" s="99"/>
    </row>
    <row r="22" spans="1:7" ht="15" customHeight="1">
      <c r="A22" s="2">
        <v>10</v>
      </c>
      <c r="B22" s="5"/>
      <c r="C22" s="5" t="str">
        <f>IF($B22="","bye",CONCATENATE(VLOOKUP($B22,seznam!$A$2:$E$269,2)," (",VLOOKUP($B22,seznam!$A$2:$E$269,4),")"))</f>
        <v>bye</v>
      </c>
      <c r="D22" s="14"/>
      <c r="E22" s="6">
        <f>'výsl. žáci'!R6</f>
      </c>
      <c r="G22" s="99"/>
    </row>
    <row r="23" spans="4:7" ht="15" customHeight="1">
      <c r="D23" s="15"/>
      <c r="E23" s="8"/>
      <c r="F23" s="95" t="str">
        <f>'výsl. žáci'!P13</f>
        <v>Drápal Mětoděj</v>
      </c>
      <c r="G23" s="99"/>
    </row>
    <row r="24" spans="1:7" ht="15" customHeight="1">
      <c r="A24" s="2">
        <v>11</v>
      </c>
      <c r="B24" s="5"/>
      <c r="C24" s="5" t="str">
        <f>IF($B24="","bye",CONCATENATE(VLOOKUP($B24,seznam!$A$2:$E$269,2)," (",VLOOKUP($B24,seznam!$A$2:$E$269,4),")"))</f>
        <v>bye</v>
      </c>
      <c r="D24" s="12"/>
      <c r="E24" s="8"/>
      <c r="F24" s="6" t="str">
        <f>'výsl. žáci'!R13</f>
        <v>3:0 (5,8,10)</v>
      </c>
      <c r="G24" s="99"/>
    </row>
    <row r="25" spans="4:7" ht="15" customHeight="1">
      <c r="D25" s="13"/>
      <c r="E25" s="7" t="str">
        <f>'výsl. žáci'!P7</f>
        <v>Havránek Ondřej</v>
      </c>
      <c r="F25" s="8"/>
      <c r="G25" s="99"/>
    </row>
    <row r="26" spans="1:7" ht="15" customHeight="1">
      <c r="A26" s="2">
        <v>12</v>
      </c>
      <c r="B26" s="5">
        <v>6</v>
      </c>
      <c r="C26" s="5" t="str">
        <f>IF($B26="","bye",CONCATENATE(VLOOKUP($B26,seznam!$A$2:$E$269,2)," (",VLOOKUP($B26,seznam!$A$2:$E$269,4),")"))</f>
        <v>Havránek Ondřej (MS Brno)</v>
      </c>
      <c r="D26" s="5"/>
      <c r="E26" s="2">
        <f>'výsl. žáci'!R7</f>
      </c>
      <c r="F26" s="8"/>
      <c r="G26" s="99"/>
    </row>
    <row r="27" spans="4:7" ht="15" customHeight="1">
      <c r="D27" s="15"/>
      <c r="F27" s="8"/>
      <c r="G27" s="94" t="str">
        <f>'výsl. žáci'!P17</f>
        <v>Drápal Mětoděj</v>
      </c>
    </row>
    <row r="28" spans="1:7" ht="15" customHeight="1">
      <c r="A28" s="2">
        <v>13</v>
      </c>
      <c r="B28" s="5"/>
      <c r="C28" s="5" t="str">
        <f>IF($B28="","bye",CONCATENATE(VLOOKUP($B28,seznam!$A$2:$E$269,2)," (",VLOOKUP($B28,seznam!$A$2:$E$269,4),")"))</f>
        <v>bye</v>
      </c>
      <c r="D28" s="12"/>
      <c r="F28" s="8"/>
      <c r="G28" s="100" t="str">
        <f>'výsl. žáci'!R17</f>
        <v>3:2 (-12,10,-7,8,10)</v>
      </c>
    </row>
    <row r="29" spans="4:7" ht="15" customHeight="1">
      <c r="D29" s="13"/>
      <c r="E29" s="5">
        <f>'výsl. žáci'!P8</f>
      </c>
      <c r="F29" s="8"/>
      <c r="G29" s="100"/>
    </row>
    <row r="30" spans="1:6" ht="15" customHeight="1">
      <c r="A30" s="2">
        <v>14</v>
      </c>
      <c r="B30" s="5"/>
      <c r="C30" s="5" t="str">
        <f>IF($B30="","bye",CONCATENATE(VLOOKUP($B30,seznam!$A$2:$E$269,2)," (",VLOOKUP($B30,seznam!$A$2:$E$269,4),")"))</f>
        <v>bye</v>
      </c>
      <c r="D30" s="14"/>
      <c r="E30" s="6">
        <f>'výsl. žáci'!R8</f>
      </c>
      <c r="F30" s="8"/>
    </row>
    <row r="31" spans="4:6" ht="15" customHeight="1">
      <c r="D31" s="15"/>
      <c r="E31" s="8"/>
      <c r="F31" s="94" t="s">
        <v>60</v>
      </c>
    </row>
    <row r="32" spans="1:6" ht="15" customHeight="1">
      <c r="A32" s="2">
        <v>15</v>
      </c>
      <c r="B32" s="5"/>
      <c r="C32" s="5" t="str">
        <f>IF($B32="","bye",CONCATENATE(VLOOKUP($B32,seznam!$A$2:$E$269,2)," (",VLOOKUP($B32,seznam!$A$2:$E$269,4),")"))</f>
        <v>bye</v>
      </c>
      <c r="D32" s="12"/>
      <c r="E32" s="8"/>
      <c r="F32" s="2">
        <f>'výsl. žáci'!R14</f>
      </c>
    </row>
    <row r="33" spans="4:5" ht="15" customHeight="1">
      <c r="D33" s="13"/>
      <c r="E33" s="7" t="str">
        <f>'výsl. žáci'!P9</f>
        <v>Luska Petr</v>
      </c>
    </row>
    <row r="34" spans="1:5" ht="15" customHeight="1">
      <c r="A34" s="2">
        <v>16</v>
      </c>
      <c r="B34" s="5">
        <v>2</v>
      </c>
      <c r="C34" s="5" t="str">
        <f>IF($B34="","bye",CONCATENATE(VLOOKUP($B34,seznam!$A$2:$E$269,2)," (",VLOOKUP($B34,seznam!$A$2:$E$269,4),")"))</f>
        <v>Luska Petr (KST Vyškov)</v>
      </c>
      <c r="D34" s="14"/>
      <c r="E34" s="2">
        <f>'výsl. žáci'!R9</f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0" sqref="A20"/>
    </sheetView>
  </sheetViews>
  <sheetFormatPr defaultColWidth="9.125" defaultRowHeight="12.75"/>
  <cols>
    <col min="1" max="1" width="7.875" style="2" customWidth="1"/>
    <col min="2" max="2" width="4.50390625" style="2" bestFit="1" customWidth="1"/>
    <col min="3" max="3" width="15.125" style="2" bestFit="1" customWidth="1"/>
    <col min="4" max="4" width="19.50390625" style="2" bestFit="1" customWidth="1"/>
    <col min="5" max="5" width="4.50390625" style="2" bestFit="1" customWidth="1"/>
    <col min="6" max="6" width="16.00390625" style="2" bestFit="1" customWidth="1"/>
    <col min="7" max="7" width="19.50390625" style="2" bestFit="1" customWidth="1"/>
    <col min="8" max="12" width="5.375" style="2" customWidth="1"/>
    <col min="13" max="14" width="4.375" style="2" customWidth="1"/>
    <col min="15" max="15" width="4.50390625" style="2" bestFit="1" customWidth="1"/>
    <col min="16" max="16" width="5.50390625" style="2" customWidth="1"/>
    <col min="17" max="17" width="15.00390625" style="2" bestFit="1" customWidth="1"/>
    <col min="18" max="18" width="18.875" style="2" bestFit="1" customWidth="1"/>
    <col min="19" max="19" width="3.50390625" style="2" customWidth="1"/>
    <col min="20" max="24" width="3.00390625" style="2" customWidth="1"/>
    <col min="25" max="16384" width="9.125" style="2" customWidth="1"/>
  </cols>
  <sheetData>
    <row r="1" spans="2:15" ht="14.25" thickBot="1" thickTop="1">
      <c r="B1" s="1" t="s">
        <v>0</v>
      </c>
      <c r="C1" s="1" t="s">
        <v>1</v>
      </c>
      <c r="D1" s="1" t="s">
        <v>2</v>
      </c>
      <c r="E1" s="1" t="s">
        <v>0</v>
      </c>
      <c r="F1" s="1" t="s">
        <v>3</v>
      </c>
      <c r="G1" s="1" t="s">
        <v>2</v>
      </c>
      <c r="H1" s="16" t="s">
        <v>4</v>
      </c>
      <c r="I1" s="17" t="s">
        <v>5</v>
      </c>
      <c r="J1" s="17" t="s">
        <v>6</v>
      </c>
      <c r="K1" s="17" t="s">
        <v>7</v>
      </c>
      <c r="L1" s="18" t="s">
        <v>8</v>
      </c>
      <c r="M1" s="1" t="s">
        <v>9</v>
      </c>
      <c r="N1" s="1" t="s">
        <v>10</v>
      </c>
      <c r="O1" s="1" t="s">
        <v>11</v>
      </c>
    </row>
    <row r="2" spans="1:24" ht="13.5" thickTop="1">
      <c r="A2" s="2" t="s">
        <v>44</v>
      </c>
      <c r="B2" s="2">
        <v>1</v>
      </c>
      <c r="C2" s="2" t="str">
        <f>IF($B2=0,"bye",VLOOKUP($B2,seznam!$A$2:$D$269,2))</f>
        <v>Nespěšný Hynek</v>
      </c>
      <c r="D2" s="2" t="str">
        <f>IF($B2=0,"",VLOOKUP($B2,seznam!$A$2:$E$269,4))</f>
        <v>MS Brno</v>
      </c>
      <c r="E2" s="2">
        <f>'2.st žáci'!$B$6</f>
        <v>0</v>
      </c>
      <c r="F2" s="2" t="str">
        <f>IF($E2=0,"bye",VLOOKUP($E2,seznam!$A$2:$D$269,2))</f>
        <v>bye</v>
      </c>
      <c r="G2" s="2">
        <f>IF($E2=0,"",VLOOKUP($E2,seznam!$A$2:$E$269,4))</f>
      </c>
      <c r="H2" s="66" t="s">
        <v>95</v>
      </c>
      <c r="I2" s="67"/>
      <c r="J2" s="67"/>
      <c r="K2" s="67"/>
      <c r="L2" s="68"/>
      <c r="M2" s="2">
        <f>COUNTIF(T2:X2,"&gt;0")</f>
        <v>1</v>
      </c>
      <c r="N2" s="2">
        <f>COUNTIF(T2:X2,"&lt;0")</f>
        <v>0</v>
      </c>
      <c r="O2" s="2">
        <f aca="true" t="shared" si="0" ref="O2:O9">IF(M2=N2,0,IF(M2&gt;N2,B2,E2))</f>
        <v>1</v>
      </c>
      <c r="P2" s="2" t="str">
        <f>IF($O2=0,"",VLOOKUP($O2,seznam!$A$2:$D$269,2))</f>
        <v>Nespěšný Hynek</v>
      </c>
      <c r="Q2" s="2" t="str">
        <f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>1:0 (0,,)</v>
      </c>
      <c r="R2" s="2">
        <f aca="true" t="shared" si="1" ref="R2:R19">IF(MAX(M2:N2)=3,Q2,"")</f>
      </c>
      <c r="S2" s="25"/>
      <c r="T2" s="25">
        <f>IF(H2="",0,IF(MID(H2,1,1)="-",-1,1))</f>
        <v>1</v>
      </c>
      <c r="U2" s="25">
        <f>IF(I2="",0,IF(MID(I2,1,1)="-",-1,1))</f>
        <v>0</v>
      </c>
      <c r="V2" s="25">
        <f>IF(J2="",0,IF(MID(J2,1,1)="-",-1,1))</f>
        <v>0</v>
      </c>
      <c r="W2" s="25">
        <f>IF(K2="",0,IF(MID(K2,1,1)="-",-1,1))</f>
        <v>0</v>
      </c>
      <c r="X2" s="25">
        <f>IF(L2="",0,IF(MID(L2,1,1)="-",-1,1))</f>
        <v>0</v>
      </c>
    </row>
    <row r="3" spans="1:24" ht="12.75">
      <c r="A3" s="2" t="s">
        <v>44</v>
      </c>
      <c r="B3" s="2">
        <f>'2.st žáci'!$B$8</f>
        <v>0</v>
      </c>
      <c r="C3" s="2" t="str">
        <f>IF($B3=0,"bye",VLOOKUP($B3,seznam!$A$2:$D$269,2))</f>
        <v>bye</v>
      </c>
      <c r="D3" s="2">
        <f>IF($B3=0,"",VLOOKUP($B3,seznam!$A$2:$E$269,4))</f>
      </c>
      <c r="E3" s="2">
        <f>'2.st žáci'!$B$10</f>
        <v>0</v>
      </c>
      <c r="F3" s="2" t="str">
        <f>IF($E3=0,"bye",VLOOKUP($E3,seznam!$A$2:$D$269,2))</f>
        <v>bye</v>
      </c>
      <c r="G3" s="2">
        <f>IF($E3=0,"",VLOOKUP($E3,seznam!$A$2:$E$269,4))</f>
      </c>
      <c r="H3" s="69" t="s">
        <v>95</v>
      </c>
      <c r="I3" s="70"/>
      <c r="J3" s="70"/>
      <c r="K3" s="70"/>
      <c r="L3" s="71"/>
      <c r="M3" s="2">
        <f aca="true" t="shared" si="2" ref="M3:M9">COUNTIF(T3:X3,"&gt;0")</f>
        <v>1</v>
      </c>
      <c r="N3" s="2">
        <f aca="true" t="shared" si="3" ref="N3:N9">COUNTIF(T3:X3,"&lt;0")</f>
        <v>0</v>
      </c>
      <c r="O3" s="2">
        <f t="shared" si="0"/>
        <v>0</v>
      </c>
      <c r="P3" s="2">
        <f>IF($O3=0,"",VLOOKUP($O3,seznam!$A$2:$D$269,2))</f>
      </c>
      <c r="Q3" s="2" t="str">
        <f aca="true" t="shared" si="4" ref="Q3:Q9">IF(M3=N3,"",IF(M3&gt;N3,CONCATENATE(M3,":",N3," (",H3,",",I3,",",J3,IF(SUM(M3:N3)&gt;3,",",""),K3,IF(SUM(M3:N3)&gt;4,",",""),L3,")"),CONCATENATE(N3,":",M3," (",IF(H3="0","-0",-H3),",",IF(I3="0","-0",-I3),",",IF(J3="0","-0",-J3),IF(SUM(M3:N3)&gt;3,CONCATENATE(",",IF(K3="0","-0",-K3)),""),IF(SUM(M3:N3)&gt;4,CONCATENATE(",",IF(L3="0","-0",-L3)),""),")")))</f>
        <v>1:0 (0,,)</v>
      </c>
      <c r="R3" s="2">
        <f t="shared" si="1"/>
      </c>
      <c r="T3" s="25">
        <f aca="true" t="shared" si="5" ref="T3:W9">IF(H3="",0,IF(MID(H3,1,1)="-",-1,1))</f>
        <v>1</v>
      </c>
      <c r="U3" s="25">
        <f t="shared" si="5"/>
        <v>0</v>
      </c>
      <c r="V3" s="25">
        <f t="shared" si="5"/>
        <v>0</v>
      </c>
      <c r="W3" s="25">
        <f t="shared" si="5"/>
        <v>0</v>
      </c>
      <c r="X3" s="25">
        <f aca="true" t="shared" si="6" ref="X3:X9">IF(L3="",0,IF(MID(L3,1,1)="-",-1,1))</f>
        <v>0</v>
      </c>
    </row>
    <row r="4" spans="1:24" ht="12.75">
      <c r="A4" s="2" t="s">
        <v>44</v>
      </c>
      <c r="B4" s="2">
        <f>'2.st žáci'!$B$12</f>
        <v>4</v>
      </c>
      <c r="C4" s="2" t="str">
        <f>IF($B4=0,"bye",VLOOKUP($B4,seznam!$A$2:$D$269,2))</f>
        <v>Vincenec Oliver</v>
      </c>
      <c r="D4" s="2" t="str">
        <f>IF($B4=0,"",VLOOKUP($B4,seznam!$A$2:$E$269,4))</f>
        <v>KST Vyškov</v>
      </c>
      <c r="E4" s="2">
        <f>'2.st žáci'!$B$14</f>
        <v>0</v>
      </c>
      <c r="F4" s="2" t="str">
        <f>IF($E4=0,"bye",VLOOKUP($E4,seznam!$A$2:$D$269,2))</f>
        <v>bye</v>
      </c>
      <c r="G4" s="2">
        <f>IF($E4=0,"",VLOOKUP($E4,seznam!$A$2:$E$269,4))</f>
      </c>
      <c r="H4" s="69" t="s">
        <v>95</v>
      </c>
      <c r="I4" s="70"/>
      <c r="J4" s="70"/>
      <c r="K4" s="70"/>
      <c r="L4" s="71"/>
      <c r="M4" s="2">
        <f t="shared" si="2"/>
        <v>1</v>
      </c>
      <c r="N4" s="2">
        <f t="shared" si="3"/>
        <v>0</v>
      </c>
      <c r="O4" s="2">
        <f t="shared" si="0"/>
        <v>4</v>
      </c>
      <c r="P4" s="2" t="str">
        <f>IF($O4=0,"",VLOOKUP($O4,seznam!$A$2:$D$269,2))</f>
        <v>Vincenec Oliver</v>
      </c>
      <c r="Q4" s="2" t="str">
        <f t="shared" si="4"/>
        <v>1:0 (0,,)</v>
      </c>
      <c r="R4" s="2">
        <f t="shared" si="1"/>
      </c>
      <c r="T4" s="25">
        <f t="shared" si="5"/>
        <v>1</v>
      </c>
      <c r="U4" s="25">
        <f t="shared" si="5"/>
        <v>0</v>
      </c>
      <c r="V4" s="25">
        <f t="shared" si="5"/>
        <v>0</v>
      </c>
      <c r="W4" s="25">
        <f t="shared" si="5"/>
        <v>0</v>
      </c>
      <c r="X4" s="25">
        <f t="shared" si="6"/>
        <v>0</v>
      </c>
    </row>
    <row r="5" spans="1:24" ht="12.75">
      <c r="A5" s="2" t="s">
        <v>44</v>
      </c>
      <c r="B5" s="2">
        <f>'2.st žáci'!$B$16</f>
        <v>0</v>
      </c>
      <c r="C5" s="2" t="str">
        <f>IF($B5=0,"bye",VLOOKUP($B5,seznam!$A$2:$D$269,2))</f>
        <v>bye</v>
      </c>
      <c r="D5" s="2">
        <f>IF($B5=0,"",VLOOKUP($B5,seznam!$A$2:$E$269,4))</f>
      </c>
      <c r="E5" s="2">
        <f>'2.st žáci'!$B$18</f>
        <v>5</v>
      </c>
      <c r="F5" s="2" t="str">
        <f>IF($E5=0,"bye",VLOOKUP($E5,seznam!$A$2:$D$269,2))</f>
        <v>Horníček Lukáš</v>
      </c>
      <c r="G5" s="2" t="str">
        <f>IF($E5=0,"",VLOOKUP($E5,seznam!$A$2:$E$269,4))</f>
        <v>MS Brno</v>
      </c>
      <c r="H5" s="69" t="s">
        <v>115</v>
      </c>
      <c r="I5" s="70"/>
      <c r="J5" s="70"/>
      <c r="K5" s="70"/>
      <c r="L5" s="71"/>
      <c r="M5" s="2">
        <f t="shared" si="2"/>
        <v>0</v>
      </c>
      <c r="N5" s="2">
        <f t="shared" si="3"/>
        <v>1</v>
      </c>
      <c r="O5" s="2">
        <f t="shared" si="0"/>
        <v>5</v>
      </c>
      <c r="P5" s="2" t="str">
        <f>IF($O5=0,"",VLOOKUP($O5,seznam!$A$2:$D$269,2))</f>
        <v>Horníček Lukáš</v>
      </c>
      <c r="Q5" s="2" t="str">
        <f t="shared" si="4"/>
        <v>1:0 (0,0,0)</v>
      </c>
      <c r="R5" s="2">
        <f t="shared" si="1"/>
      </c>
      <c r="T5" s="25">
        <f t="shared" si="5"/>
        <v>-1</v>
      </c>
      <c r="U5" s="25">
        <f t="shared" si="5"/>
        <v>0</v>
      </c>
      <c r="V5" s="25">
        <f t="shared" si="5"/>
        <v>0</v>
      </c>
      <c r="W5" s="25">
        <f t="shared" si="5"/>
        <v>0</v>
      </c>
      <c r="X5" s="25">
        <f t="shared" si="6"/>
        <v>0</v>
      </c>
    </row>
    <row r="6" spans="1:24" ht="12.75">
      <c r="A6" s="2" t="s">
        <v>44</v>
      </c>
      <c r="B6" s="2">
        <f>'2.st žáci'!$B$20</f>
        <v>3</v>
      </c>
      <c r="C6" s="2" t="str">
        <f>IF($B6=0,"bye",VLOOKUP($B6,seznam!$A$2:$D$269,2))</f>
        <v>Drápal Mětoděj</v>
      </c>
      <c r="D6" s="2" t="str">
        <f>IF($B6=0,"",VLOOKUP($B6,seznam!$A$2:$E$269,4))</f>
        <v>MS Brno</v>
      </c>
      <c r="E6" s="2">
        <f>'2.st žáci'!$B$22</f>
        <v>0</v>
      </c>
      <c r="F6" s="2" t="str">
        <f>IF($E6=0,"bye",VLOOKUP($E6,seznam!$A$2:$D$269,2))</f>
        <v>bye</v>
      </c>
      <c r="G6" s="2">
        <f>IF($E6=0,"",VLOOKUP($E6,seznam!$A$2:$E$269,4))</f>
      </c>
      <c r="H6" s="69" t="s">
        <v>95</v>
      </c>
      <c r="I6" s="70"/>
      <c r="J6" s="70"/>
      <c r="K6" s="70"/>
      <c r="L6" s="71"/>
      <c r="M6" s="2">
        <f t="shared" si="2"/>
        <v>1</v>
      </c>
      <c r="N6" s="2">
        <f t="shared" si="3"/>
        <v>0</v>
      </c>
      <c r="O6" s="2">
        <f t="shared" si="0"/>
        <v>3</v>
      </c>
      <c r="P6" s="2" t="str">
        <f>IF($O6=0,"",VLOOKUP($O6,seznam!$A$2:$D$269,2))</f>
        <v>Drápal Mětoděj</v>
      </c>
      <c r="Q6" s="2" t="str">
        <f t="shared" si="4"/>
        <v>1:0 (0,,)</v>
      </c>
      <c r="R6" s="2">
        <f t="shared" si="1"/>
      </c>
      <c r="T6" s="25">
        <f t="shared" si="5"/>
        <v>1</v>
      </c>
      <c r="U6" s="25">
        <f t="shared" si="5"/>
        <v>0</v>
      </c>
      <c r="V6" s="25">
        <f t="shared" si="5"/>
        <v>0</v>
      </c>
      <c r="W6" s="25">
        <f t="shared" si="5"/>
        <v>0</v>
      </c>
      <c r="X6" s="25">
        <f t="shared" si="6"/>
        <v>0</v>
      </c>
    </row>
    <row r="7" spans="1:24" ht="12.75">
      <c r="A7" s="2" t="s">
        <v>44</v>
      </c>
      <c r="B7" s="2">
        <f>'2.st žáci'!$B$24</f>
        <v>0</v>
      </c>
      <c r="C7" s="2" t="str">
        <f>IF($B7=0,"bye",VLOOKUP($B7,seznam!$A$2:$D$269,2))</f>
        <v>bye</v>
      </c>
      <c r="D7" s="2">
        <f>IF($B7=0,"",VLOOKUP($B7,seznam!$A$2:$E$269,4))</f>
      </c>
      <c r="E7" s="2">
        <f>'2.st žáci'!$B$26</f>
        <v>6</v>
      </c>
      <c r="F7" s="2" t="str">
        <f>IF($E7=0,"bye",VLOOKUP($E7,seznam!$A$2:$D$269,2))</f>
        <v>Havránek Ondřej</v>
      </c>
      <c r="G7" s="2" t="str">
        <f>IF($E7=0,"",VLOOKUP($E7,seznam!$A$2:$E$269,4))</f>
        <v>MS Brno</v>
      </c>
      <c r="H7" s="69" t="s">
        <v>115</v>
      </c>
      <c r="I7" s="70"/>
      <c r="J7" s="70"/>
      <c r="K7" s="70"/>
      <c r="L7" s="71"/>
      <c r="M7" s="2">
        <f t="shared" si="2"/>
        <v>0</v>
      </c>
      <c r="N7" s="2">
        <f t="shared" si="3"/>
        <v>1</v>
      </c>
      <c r="O7" s="2">
        <f t="shared" si="0"/>
        <v>6</v>
      </c>
      <c r="P7" s="2" t="str">
        <f>IF($O7=0,"",VLOOKUP($O7,seznam!$A$2:$D$269,2))</f>
        <v>Havránek Ondřej</v>
      </c>
      <c r="Q7" s="2" t="str">
        <f t="shared" si="4"/>
        <v>1:0 (0,0,0)</v>
      </c>
      <c r="R7" s="2">
        <f t="shared" si="1"/>
      </c>
      <c r="T7" s="25">
        <f t="shared" si="5"/>
        <v>-1</v>
      </c>
      <c r="U7" s="25">
        <f t="shared" si="5"/>
        <v>0</v>
      </c>
      <c r="V7" s="25">
        <f t="shared" si="5"/>
        <v>0</v>
      </c>
      <c r="W7" s="25">
        <f t="shared" si="5"/>
        <v>0</v>
      </c>
      <c r="X7" s="25">
        <f t="shared" si="6"/>
        <v>0</v>
      </c>
    </row>
    <row r="8" spans="1:24" ht="12.75">
      <c r="A8" s="2" t="s">
        <v>44</v>
      </c>
      <c r="B8" s="2">
        <f>'2.st žáci'!$B$28</f>
        <v>0</v>
      </c>
      <c r="C8" s="2" t="str">
        <f>IF($B8=0,"bye",VLOOKUP($B8,seznam!$A$2:$D$269,2))</f>
        <v>bye</v>
      </c>
      <c r="D8" s="2">
        <f>IF($B8=0,"",VLOOKUP($B8,seznam!$A$2:$E$269,4))</f>
      </c>
      <c r="E8" s="2">
        <f>'2.st žáci'!$B$30</f>
        <v>0</v>
      </c>
      <c r="F8" s="2" t="str">
        <f>IF($E8=0,"bye",VLOOKUP($E8,seznam!$A$2:$D$269,2))</f>
        <v>bye</v>
      </c>
      <c r="G8" s="2">
        <f>IF($E8=0,"",VLOOKUP($E8,seznam!$A$2:$E$269,4))</f>
      </c>
      <c r="H8" s="69" t="s">
        <v>95</v>
      </c>
      <c r="I8" s="70"/>
      <c r="J8" s="70"/>
      <c r="K8" s="70"/>
      <c r="L8" s="71"/>
      <c r="M8" s="2">
        <f t="shared" si="2"/>
        <v>1</v>
      </c>
      <c r="N8" s="2">
        <f t="shared" si="3"/>
        <v>0</v>
      </c>
      <c r="O8" s="2">
        <f t="shared" si="0"/>
        <v>0</v>
      </c>
      <c r="P8" s="2">
        <f>IF($O8=0,"",VLOOKUP($O8,seznam!$A$2:$D$269,2))</f>
      </c>
      <c r="Q8" s="2" t="str">
        <f t="shared" si="4"/>
        <v>1:0 (0,,)</v>
      </c>
      <c r="R8" s="2">
        <f t="shared" si="1"/>
      </c>
      <c r="T8" s="25">
        <f t="shared" si="5"/>
        <v>1</v>
      </c>
      <c r="U8" s="25">
        <f t="shared" si="5"/>
        <v>0</v>
      </c>
      <c r="V8" s="25">
        <f t="shared" si="5"/>
        <v>0</v>
      </c>
      <c r="W8" s="25">
        <f t="shared" si="5"/>
        <v>0</v>
      </c>
      <c r="X8" s="25">
        <f t="shared" si="6"/>
        <v>0</v>
      </c>
    </row>
    <row r="9" spans="1:24" ht="13.5" thickBot="1">
      <c r="A9" s="2" t="s">
        <v>44</v>
      </c>
      <c r="B9" s="2">
        <f>'2.st žáci'!$B$32</f>
        <v>0</v>
      </c>
      <c r="C9" s="2" t="str">
        <f>IF($B9=0,"bye",VLOOKUP($B9,seznam!$A$2:$D$269,2))</f>
        <v>bye</v>
      </c>
      <c r="D9" s="2">
        <f>IF($B9=0,"",VLOOKUP($B9,seznam!$A$2:$E$269,4))</f>
      </c>
      <c r="E9" s="2">
        <f>'2.st žáci'!$B$34</f>
        <v>2</v>
      </c>
      <c r="F9" s="2" t="str">
        <f>IF($E9=0,"bye",VLOOKUP($E9,seznam!$A$2:$D$269,2))</f>
        <v>Luska Petr</v>
      </c>
      <c r="G9" s="2" t="str">
        <f>IF($E9=0,"",VLOOKUP($E9,seznam!$A$2:$E$269,4))</f>
        <v>KST Vyškov</v>
      </c>
      <c r="H9" s="72" t="s">
        <v>115</v>
      </c>
      <c r="I9" s="73"/>
      <c r="J9" s="73"/>
      <c r="K9" s="73"/>
      <c r="L9" s="74"/>
      <c r="M9" s="2">
        <f t="shared" si="2"/>
        <v>0</v>
      </c>
      <c r="N9" s="2">
        <f t="shared" si="3"/>
        <v>1</v>
      </c>
      <c r="O9" s="2">
        <f t="shared" si="0"/>
        <v>2</v>
      </c>
      <c r="P9" s="2" t="str">
        <f>IF($O9=0,"",VLOOKUP($O9,seznam!$A$2:$D$269,2))</f>
        <v>Luska Petr</v>
      </c>
      <c r="Q9" s="2" t="str">
        <f t="shared" si="4"/>
        <v>1:0 (0,0,0)</v>
      </c>
      <c r="R9" s="2">
        <f t="shared" si="1"/>
      </c>
      <c r="T9" s="25">
        <f t="shared" si="5"/>
        <v>-1</v>
      </c>
      <c r="U9" s="25">
        <f t="shared" si="5"/>
        <v>0</v>
      </c>
      <c r="V9" s="25">
        <f t="shared" si="5"/>
        <v>0</v>
      </c>
      <c r="W9" s="25">
        <f t="shared" si="5"/>
        <v>0</v>
      </c>
      <c r="X9" s="25">
        <f t="shared" si="6"/>
        <v>0</v>
      </c>
    </row>
    <row r="10" spans="8:12" ht="14.25" thickBot="1" thickTop="1">
      <c r="H10" s="19"/>
      <c r="I10" s="19"/>
      <c r="J10" s="19"/>
      <c r="K10" s="19"/>
      <c r="L10" s="19"/>
    </row>
    <row r="11" spans="1:24" ht="13.5" thickTop="1">
      <c r="A11" s="2" t="s">
        <v>45</v>
      </c>
      <c r="B11" s="2">
        <f>O2</f>
        <v>1</v>
      </c>
      <c r="C11" s="2" t="str">
        <f>IF($B11=0,"",VLOOKUP($B11,seznam!$A$2:$D$269,2))</f>
        <v>Nespěšný Hynek</v>
      </c>
      <c r="D11" s="2" t="str">
        <f>IF($B11=0,"",VLOOKUP($B11,seznam!$A$2:$E$269,4))</f>
        <v>MS Brno</v>
      </c>
      <c r="E11" s="2">
        <f>O3</f>
        <v>0</v>
      </c>
      <c r="F11" s="2">
        <f>IF($E11=0,"",VLOOKUP($E11,seznam!$A$2:$D$269,2))</f>
      </c>
      <c r="G11" s="2">
        <f>IF($E11=0,"",VLOOKUP($E11,seznam!$A$2:$E$269,4))</f>
      </c>
      <c r="H11" s="66" t="s">
        <v>95</v>
      </c>
      <c r="I11" s="67"/>
      <c r="J11" s="67"/>
      <c r="K11" s="67"/>
      <c r="L11" s="68"/>
      <c r="M11" s="2">
        <f>COUNTIF(T11:X11,"&gt;0")</f>
        <v>1</v>
      </c>
      <c r="N11" s="2">
        <f>COUNTIF(T11:X11,"&lt;0")</f>
        <v>0</v>
      </c>
      <c r="O11" s="2">
        <f>IF(M11=N11,0,IF(M11&gt;N11,B11,E11))</f>
        <v>1</v>
      </c>
      <c r="P11" s="2" t="str">
        <f>IF($O11=0,"",VLOOKUP($O11,seznam!$A$2:$D$269,2))</f>
        <v>Nespěšný Hynek</v>
      </c>
      <c r="Q11" s="2" t="str">
        <f>IF(M11=N11,"",IF(M11&gt;N11,CONCATENATE(M11,":",N11," (",H11,",",I11,",",J11,IF(SUM(M11:N11)&gt;3,",",""),K11,IF(SUM(M11:N11)&gt;4,",",""),L11,")"),CONCATENATE(N11,":",M11," (",IF(H11="0","-0",-H11),",",IF(I11="0","-0",-I11),",",IF(J11="0","-0",-J11),IF(SUM(M11:N11)&gt;3,CONCATENATE(",",IF(K11="0","-0",-K11)),""),IF(SUM(M11:N11)&gt;4,CONCATENATE(",",IF(L11="0","-0",-L11)),""),")")))</f>
        <v>1:0 (0,,)</v>
      </c>
      <c r="R11" s="2">
        <f t="shared" si="1"/>
      </c>
      <c r="T11" s="25">
        <f aca="true" t="shared" si="7" ref="T11:X14">IF(H11="",0,IF(MID(H11,1,1)="-",-1,1))</f>
        <v>1</v>
      </c>
      <c r="U11" s="25">
        <f t="shared" si="7"/>
        <v>0</v>
      </c>
      <c r="V11" s="25">
        <f t="shared" si="7"/>
        <v>0</v>
      </c>
      <c r="W11" s="25">
        <f t="shared" si="7"/>
        <v>0</v>
      </c>
      <c r="X11" s="25">
        <f t="shared" si="7"/>
        <v>0</v>
      </c>
    </row>
    <row r="12" spans="1:24" ht="12.75">
      <c r="A12" s="2" t="s">
        <v>45</v>
      </c>
      <c r="B12" s="2">
        <f>O4</f>
        <v>4</v>
      </c>
      <c r="C12" s="2" t="str">
        <f>IF($B12=0,"",VLOOKUP($B12,seznam!$A$2:$D$269,2))</f>
        <v>Vincenec Oliver</v>
      </c>
      <c r="D12" s="2" t="str">
        <f>IF($B12=0,"",VLOOKUP($B12,seznam!$A$2:$E$269,4))</f>
        <v>KST Vyškov</v>
      </c>
      <c r="E12" s="2">
        <f>O5</f>
        <v>5</v>
      </c>
      <c r="F12" s="2" t="str">
        <f>IF($E12=0,"",VLOOKUP($E12,seznam!$A$2:$D$269,2))</f>
        <v>Horníček Lukáš</v>
      </c>
      <c r="G12" s="2" t="str">
        <f>IF($E12=0,"",VLOOKUP($E12,seznam!$A$2:$E$269,4))</f>
        <v>MS Brno</v>
      </c>
      <c r="H12" s="69" t="s">
        <v>94</v>
      </c>
      <c r="I12" s="70" t="s">
        <v>105</v>
      </c>
      <c r="J12" s="70" t="s">
        <v>100</v>
      </c>
      <c r="K12" s="70"/>
      <c r="L12" s="71"/>
      <c r="M12" s="2">
        <f>COUNTIF(T12:X12,"&gt;0")</f>
        <v>3</v>
      </c>
      <c r="N12" s="2">
        <f>COUNTIF(T12:X12,"&lt;0")</f>
        <v>0</v>
      </c>
      <c r="O12" s="2">
        <f>IF(M12=N12,0,IF(M12&gt;N12,B12,E12))</f>
        <v>4</v>
      </c>
      <c r="P12" s="2" t="str">
        <f>IF($O12=0,"",VLOOKUP($O12,seznam!$A$2:$D$269,2))</f>
        <v>Vincenec Oliver</v>
      </c>
      <c r="Q12" s="2" t="str">
        <f>IF(M12=N12,"",IF(M12&gt;N12,CONCATENATE(M12,":",N12," (",H12,",",I12,",",J12,IF(SUM(M12:N12)&gt;3,",",""),K12,IF(SUM(M12:N12)&gt;4,",",""),L12,")"),CONCATENATE(N12,":",M12," (",IF(H12="0","-0",-H12),",",IF(I12="0","-0",-I12),",",IF(J12="0","-0",-J12),IF(SUM(M12:N12)&gt;3,CONCATENATE(",",IF(K12="0","-0",-K12)),""),IF(SUM(M12:N12)&gt;4,CONCATENATE(",",IF(L12="0","-0",-L12)),""),")")))</f>
        <v>3:0 (8,4,7)</v>
      </c>
      <c r="R12" s="2" t="str">
        <f t="shared" si="1"/>
        <v>3:0 (8,4,7)</v>
      </c>
      <c r="T12" s="25">
        <f t="shared" si="7"/>
        <v>1</v>
      </c>
      <c r="U12" s="25">
        <f t="shared" si="7"/>
        <v>1</v>
      </c>
      <c r="V12" s="25">
        <f t="shared" si="7"/>
        <v>1</v>
      </c>
      <c r="W12" s="25">
        <f t="shared" si="7"/>
        <v>0</v>
      </c>
      <c r="X12" s="25">
        <f t="shared" si="7"/>
        <v>0</v>
      </c>
    </row>
    <row r="13" spans="1:24" ht="12.75">
      <c r="A13" s="2" t="s">
        <v>45</v>
      </c>
      <c r="B13" s="2">
        <f>O6</f>
        <v>3</v>
      </c>
      <c r="C13" s="2" t="str">
        <f>IF($B13=0,"",VLOOKUP($B13,seznam!$A$2:$D$269,2))</f>
        <v>Drápal Mětoděj</v>
      </c>
      <c r="D13" s="2" t="str">
        <f>IF($B13=0,"",VLOOKUP($B13,seznam!$A$2:$E$269,4))</f>
        <v>MS Brno</v>
      </c>
      <c r="E13" s="2">
        <f>O7</f>
        <v>6</v>
      </c>
      <c r="F13" s="2" t="str">
        <f>IF($E13=0,"",VLOOKUP($E13,seznam!$A$2:$D$269,2))</f>
        <v>Havránek Ondřej</v>
      </c>
      <c r="G13" s="2" t="str">
        <f>IF($E13=0,"",VLOOKUP($E13,seznam!$A$2:$E$269,4))</f>
        <v>MS Brno</v>
      </c>
      <c r="H13" s="69" t="s">
        <v>98</v>
      </c>
      <c r="I13" s="70" t="s">
        <v>94</v>
      </c>
      <c r="J13" s="70" t="s">
        <v>97</v>
      </c>
      <c r="K13" s="70"/>
      <c r="L13" s="71"/>
      <c r="M13" s="2">
        <f>COUNTIF(T13:X13,"&gt;0")</f>
        <v>3</v>
      </c>
      <c r="N13" s="2">
        <f>COUNTIF(T13:X13,"&lt;0")</f>
        <v>0</v>
      </c>
      <c r="O13" s="2">
        <f>IF(M13=N13,0,IF(M13&gt;N13,B13,E13))</f>
        <v>3</v>
      </c>
      <c r="P13" s="2" t="str">
        <f>IF($O13=0,"",VLOOKUP($O13,seznam!$A$2:$D$269,2))</f>
        <v>Drápal Mětoděj</v>
      </c>
      <c r="Q13" s="2" t="str">
        <f>IF(M13=N13,"",IF(M13&gt;N13,CONCATENATE(M13,":",N13," (",H13,",",I13,",",J13,IF(SUM(M13:N13)&gt;3,",",""),K13,IF(SUM(M13:N13)&gt;4,",",""),L13,")"),CONCATENATE(N13,":",M13," (",IF(H13="0","-0",-H13),",",IF(I13="0","-0",-I13),",",IF(J13="0","-0",-J13),IF(SUM(M13:N13)&gt;3,CONCATENATE(",",IF(K13="0","-0",-K13)),""),IF(SUM(M13:N13)&gt;4,CONCATENATE(",",IF(L13="0","-0",-L13)),""),")")))</f>
        <v>3:0 (5,8,10)</v>
      </c>
      <c r="R13" s="2" t="str">
        <f t="shared" si="1"/>
        <v>3:0 (5,8,10)</v>
      </c>
      <c r="T13" s="25">
        <f t="shared" si="7"/>
        <v>1</v>
      </c>
      <c r="U13" s="25">
        <f t="shared" si="7"/>
        <v>1</v>
      </c>
      <c r="V13" s="25">
        <f t="shared" si="7"/>
        <v>1</v>
      </c>
      <c r="W13" s="25">
        <f t="shared" si="7"/>
        <v>0</v>
      </c>
      <c r="X13" s="25">
        <f t="shared" si="7"/>
        <v>0</v>
      </c>
    </row>
    <row r="14" spans="1:24" ht="13.5" thickBot="1">
      <c r="A14" s="2" t="s">
        <v>45</v>
      </c>
      <c r="B14" s="2">
        <f>O8</f>
        <v>0</v>
      </c>
      <c r="C14" s="2">
        <f>IF($B14=0,"",VLOOKUP($B14,seznam!$A$2:$D$269,2))</f>
      </c>
      <c r="D14" s="2">
        <f>IF($B14=0,"",VLOOKUP($B14,seznam!$A$2:$E$269,4))</f>
      </c>
      <c r="E14" s="2">
        <f>O9</f>
        <v>2</v>
      </c>
      <c r="F14" s="2" t="str">
        <f>IF($E14=0,"",VLOOKUP($E14,seznam!$A$2:$D$269,2))</f>
        <v>Luska Petr</v>
      </c>
      <c r="G14" s="2" t="str">
        <f>IF($E14=0,"",VLOOKUP($E14,seznam!$A$2:$E$269,4))</f>
        <v>KST Vyškov</v>
      </c>
      <c r="H14" s="72" t="s">
        <v>115</v>
      </c>
      <c r="I14" s="73"/>
      <c r="J14" s="73"/>
      <c r="K14" s="73"/>
      <c r="L14" s="74"/>
      <c r="M14" s="2">
        <f>COUNTIF(T14:X14,"&gt;0")</f>
        <v>0</v>
      </c>
      <c r="N14" s="2">
        <f>COUNTIF(T14:X14,"&lt;0")</f>
        <v>1</v>
      </c>
      <c r="O14" s="2">
        <f>IF(M14=N14,0,IF(M14&gt;N14,B14,E14))</f>
        <v>2</v>
      </c>
      <c r="P14" s="2" t="str">
        <f>IF($O14=0,"",VLOOKUP($O14,seznam!$A$2:$D$269,2))</f>
        <v>Luska Petr</v>
      </c>
      <c r="Q14" s="2" t="str">
        <f>IF(M14=N14,"",IF(M14&gt;N14,CONCATENATE(M14,":",N14," (",H14,",",I14,",",J14,IF(SUM(M14:N14)&gt;3,",",""),K14,IF(SUM(M14:N14)&gt;4,",",""),L14,")"),CONCATENATE(N14,":",M14," (",IF(H14="0","-0",-H14),",",IF(I14="0","-0",-I14),",",IF(J14="0","-0",-J14),IF(SUM(M14:N14)&gt;3,CONCATENATE(",",IF(K14="0","-0",-K14)),""),IF(SUM(M14:N14)&gt;4,CONCATENATE(",",IF(L14="0","-0",-L14)),""),")")))</f>
        <v>1:0 (0,0,0)</v>
      </c>
      <c r="R14" s="2">
        <f t="shared" si="1"/>
      </c>
      <c r="T14" s="25">
        <f t="shared" si="7"/>
        <v>-1</v>
      </c>
      <c r="U14" s="25">
        <f t="shared" si="7"/>
        <v>0</v>
      </c>
      <c r="V14" s="25">
        <f t="shared" si="7"/>
        <v>0</v>
      </c>
      <c r="W14" s="25">
        <f t="shared" si="7"/>
        <v>0</v>
      </c>
      <c r="X14" s="25">
        <f t="shared" si="7"/>
        <v>0</v>
      </c>
    </row>
    <row r="15" spans="8:12" ht="14.25" thickBot="1" thickTop="1">
      <c r="H15" s="19"/>
      <c r="I15" s="19"/>
      <c r="J15" s="19"/>
      <c r="K15" s="19"/>
      <c r="L15" s="19"/>
    </row>
    <row r="16" spans="1:24" ht="13.5" thickTop="1">
      <c r="A16" s="2" t="s">
        <v>46</v>
      </c>
      <c r="B16" s="2">
        <f>O11</f>
        <v>1</v>
      </c>
      <c r="C16" s="2" t="str">
        <f>IF($B16=0,"",VLOOKUP($B16,seznam!$A$2:$D$269,2))</f>
        <v>Nespěšný Hynek</v>
      </c>
      <c r="D16" s="2" t="str">
        <f>IF($B16=0,"",VLOOKUP($B16,seznam!$A$2:$E$269,4))</f>
        <v>MS Brno</v>
      </c>
      <c r="E16" s="2">
        <f>O12</f>
        <v>4</v>
      </c>
      <c r="F16" s="2" t="str">
        <f>IF($E16=0,"",VLOOKUP($E16,seznam!$A$2:$D$269,2))</f>
        <v>Vincenec Oliver</v>
      </c>
      <c r="G16" s="2" t="str">
        <f>IF($E16=0,"",VLOOKUP($E16,seznam!$A$2:$E$269,4))</f>
        <v>KST Vyškov</v>
      </c>
      <c r="H16" s="66" t="s">
        <v>96</v>
      </c>
      <c r="I16" s="67" t="s">
        <v>102</v>
      </c>
      <c r="J16" s="67" t="s">
        <v>107</v>
      </c>
      <c r="K16" s="67" t="s">
        <v>96</v>
      </c>
      <c r="L16" s="68" t="s">
        <v>99</v>
      </c>
      <c r="M16" s="2">
        <f>COUNTIF(T16:X16,"&gt;0")</f>
        <v>3</v>
      </c>
      <c r="N16" s="2">
        <f>COUNTIF(T16:X16,"&lt;0")</f>
        <v>2</v>
      </c>
      <c r="O16" s="2">
        <f>IF(M16=N16,0,IF(M16&gt;N16,B16,E16))</f>
        <v>1</v>
      </c>
      <c r="P16" s="2" t="str">
        <f>IF($O16=0,"",VLOOKUP($O16,seznam!$A$2:$D$269,2))</f>
        <v>Nespěšný Hynek</v>
      </c>
      <c r="Q16" s="2" t="str">
        <f>IF(M16=N16,"",IF(M16&gt;N16,CONCATENATE(M16,":",N16," (",H16,",",I16,",",J16,IF(SUM(M16:N16)&gt;3,",",""),K16,IF(SUM(M16:N16)&gt;4,",",""),L16,")"),CONCATENATE(N16,":",M16," (",IF(H16="0","-0",-H16),",",IF(I16="0","-0",-I16),",",IF(J16="0","-0",-J16),IF(SUM(M16:N16)&gt;3,CONCATENATE(",",IF(K16="0","-0",-K16)),""),IF(SUM(M16:N16)&gt;4,CONCATENATE(",",IF(L16="0","-0",-L16)),""),")")))</f>
        <v>3:2 (6,-9,-3,6,3)</v>
      </c>
      <c r="R16" s="2" t="str">
        <f t="shared" si="1"/>
        <v>3:2 (6,-9,-3,6,3)</v>
      </c>
      <c r="T16" s="25">
        <f aca="true" t="shared" si="8" ref="T16:X17">IF(H16="",0,IF(MID(H16,1,1)="-",-1,1))</f>
        <v>1</v>
      </c>
      <c r="U16" s="25">
        <f t="shared" si="8"/>
        <v>-1</v>
      </c>
      <c r="V16" s="25">
        <f t="shared" si="8"/>
        <v>-1</v>
      </c>
      <c r="W16" s="25">
        <f t="shared" si="8"/>
        <v>1</v>
      </c>
      <c r="X16" s="25">
        <f t="shared" si="8"/>
        <v>1</v>
      </c>
    </row>
    <row r="17" spans="1:24" ht="13.5" thickBot="1">
      <c r="A17" s="2" t="s">
        <v>46</v>
      </c>
      <c r="B17" s="2">
        <f>O13</f>
        <v>3</v>
      </c>
      <c r="C17" s="2" t="str">
        <f>IF($B17=0,"",VLOOKUP($B17,seznam!$A$2:$D$269,2))</f>
        <v>Drápal Mětoděj</v>
      </c>
      <c r="D17" s="2" t="str">
        <f>IF($B17=0,"",VLOOKUP($B17,seznam!$A$2:$E$269,4))</f>
        <v>MS Brno</v>
      </c>
      <c r="E17" s="2">
        <f>O14</f>
        <v>2</v>
      </c>
      <c r="F17" s="2" t="str">
        <f>IF($E17=0,"",VLOOKUP($E17,seznam!$A$2:$D$269,2))</f>
        <v>Luska Petr</v>
      </c>
      <c r="G17" s="2" t="str">
        <f>IF($E17=0,"",VLOOKUP($E17,seznam!$A$2:$E$269,4))</f>
        <v>KST Vyškov</v>
      </c>
      <c r="H17" s="72" t="s">
        <v>111</v>
      </c>
      <c r="I17" s="73" t="s">
        <v>97</v>
      </c>
      <c r="J17" s="73" t="s">
        <v>108</v>
      </c>
      <c r="K17" s="73" t="s">
        <v>94</v>
      </c>
      <c r="L17" s="74" t="s">
        <v>97</v>
      </c>
      <c r="M17" s="2">
        <f>COUNTIF(T17:X17,"&gt;0")</f>
        <v>3</v>
      </c>
      <c r="N17" s="2">
        <f>COUNTIF(T17:X17,"&lt;0")</f>
        <v>2</v>
      </c>
      <c r="O17" s="2">
        <f>IF(M17=N17,0,IF(M17&gt;N17,B17,E17))</f>
        <v>3</v>
      </c>
      <c r="P17" s="2" t="str">
        <f>IF($O17=0,"",VLOOKUP($O17,seznam!$A$2:$D$269,2))</f>
        <v>Drápal Mětoděj</v>
      </c>
      <c r="Q17" s="2" t="str">
        <f>IF(M17=N17,"",IF(M17&gt;N17,CONCATENATE(M17,":",N17," (",H17,",",I17,",",J17,IF(SUM(M17:N17)&gt;3,",",""),K17,IF(SUM(M17:N17)&gt;4,",",""),L17,")"),CONCATENATE(N17,":",M17," (",IF(H17="0","-0",-H17),",",IF(I17="0","-0",-I17),",",IF(J17="0","-0",-J17),IF(SUM(M17:N17)&gt;3,CONCATENATE(",",IF(K17="0","-0",-K17)),""),IF(SUM(M17:N17)&gt;4,CONCATENATE(",",IF(L17="0","-0",-L17)),""),")")))</f>
        <v>3:2 (-12,10,-7,8,10)</v>
      </c>
      <c r="R17" s="2" t="str">
        <f t="shared" si="1"/>
        <v>3:2 (-12,10,-7,8,10)</v>
      </c>
      <c r="T17" s="25">
        <f t="shared" si="8"/>
        <v>-1</v>
      </c>
      <c r="U17" s="25">
        <f t="shared" si="8"/>
        <v>1</v>
      </c>
      <c r="V17" s="25">
        <f t="shared" si="8"/>
        <v>-1</v>
      </c>
      <c r="W17" s="25">
        <f t="shared" si="8"/>
        <v>1</v>
      </c>
      <c r="X17" s="25">
        <f t="shared" si="8"/>
        <v>1</v>
      </c>
    </row>
    <row r="18" spans="8:12" ht="14.25" thickBot="1" thickTop="1">
      <c r="H18" s="19"/>
      <c r="I18" s="19"/>
      <c r="J18" s="19"/>
      <c r="K18" s="19"/>
      <c r="L18" s="19"/>
    </row>
    <row r="19" spans="1:24" ht="14.25" thickBot="1" thickTop="1">
      <c r="A19" s="2" t="s">
        <v>47</v>
      </c>
      <c r="B19" s="2">
        <f>O16</f>
        <v>1</v>
      </c>
      <c r="C19" s="2" t="str">
        <f>IF($B19=0,"",VLOOKUP($B19,seznam!$A$2:$D$269,2))</f>
        <v>Nespěšný Hynek</v>
      </c>
      <c r="D19" s="2" t="str">
        <f>IF($B19=0,"",VLOOKUP($B19,seznam!$A$2:$E$269,4))</f>
        <v>MS Brno</v>
      </c>
      <c r="E19" s="2">
        <f>O17</f>
        <v>3</v>
      </c>
      <c r="F19" s="2" t="str">
        <f>IF($E19=0,"",VLOOKUP($E19,seznam!$A$2:$D$269,2))</f>
        <v>Drápal Mětoděj</v>
      </c>
      <c r="G19" s="2" t="str">
        <f>IF($E19=0,"",VLOOKUP($E19,seznam!$A$2:$E$269,4))</f>
        <v>MS Brno</v>
      </c>
      <c r="H19" s="75" t="s">
        <v>98</v>
      </c>
      <c r="I19" s="76" t="s">
        <v>94</v>
      </c>
      <c r="J19" s="76" t="s">
        <v>97</v>
      </c>
      <c r="K19" s="76"/>
      <c r="L19" s="77"/>
      <c r="M19" s="2">
        <f>COUNTIF(T19:X19,"&gt;0")</f>
        <v>3</v>
      </c>
      <c r="N19" s="2">
        <f>COUNTIF(T19:X19,"&lt;0")</f>
        <v>0</v>
      </c>
      <c r="O19" s="2">
        <f>IF(M19=N19,0,IF(M19&gt;N19,B19,E19))</f>
        <v>1</v>
      </c>
      <c r="P19" s="2" t="str">
        <f>IF($O19=0,"",VLOOKUP($O19,seznam!$A$2:$D$269,2))</f>
        <v>Nespěšný Hynek</v>
      </c>
      <c r="Q19" s="2" t="str">
        <f>IF(M19=N19,"",IF(M19&gt;N19,CONCATENATE(M19,":",N19," (",H19,",",I19,",",J19,IF(SUM(M19:N19)&gt;3,",",""),K19,IF(SUM(M19:N19)&gt;4,",",""),L19,")"),CONCATENATE(N19,":",M19," (",IF(H19="0","-0",-H19),",",IF(I19="0","-0",-I19),",",IF(J19="0","-0",-J19),IF(SUM(M19:N19)&gt;3,CONCATENATE(",",IF(K19="0","-0",-K19)),""),IF(SUM(M19:N19)&gt;4,CONCATENATE(",",IF(L19="0","-0",-L19)),""),")")))</f>
        <v>3:0 (5,8,10)</v>
      </c>
      <c r="R19" s="2" t="str">
        <f t="shared" si="1"/>
        <v>3:0 (5,8,10)</v>
      </c>
      <c r="T19" s="25">
        <f>IF(H19="",0,IF(MID(H19,1,1)="-",-1,1))</f>
        <v>1</v>
      </c>
      <c r="U19" s="25">
        <f>IF(I19="",0,IF(MID(I19,1,1)="-",-1,1))</f>
        <v>1</v>
      </c>
      <c r="V19" s="25">
        <f>IF(J19="",0,IF(MID(J19,1,1)="-",-1,1))</f>
        <v>1</v>
      </c>
      <c r="W19" s="25">
        <f>IF(K19="",0,IF(MID(K19,1,1)="-",-1,1))</f>
        <v>0</v>
      </c>
      <c r="X19" s="25">
        <f>IF(L19="",0,IF(MID(L19,1,1)="-",-1,1))</f>
        <v>0</v>
      </c>
    </row>
    <row r="20" spans="8:12" ht="13.5" thickTop="1">
      <c r="H20" s="19"/>
      <c r="I20" s="19"/>
      <c r="J20" s="19"/>
      <c r="K20" s="19"/>
      <c r="L20" s="19"/>
    </row>
    <row r="21" spans="3:4" ht="12.75">
      <c r="C21" s="2">
        <f>IF($B21=0,"",VLOOKUP($B21,seznam!$A$2:$D$269,2))</f>
      </c>
      <c r="D21" s="2">
        <f>IF($B21=0,"",VLOOKUP($B21,seznam!$A$2:$D$269,3))</f>
      </c>
    </row>
    <row r="22" spans="3:4" ht="12.75">
      <c r="C22" s="2">
        <f>IF($B22=0,"",VLOOKUP($B22,seznam!$A$2:$D$269,2))</f>
      </c>
      <c r="D22" s="2">
        <f>IF($B22=0,"",VLOOKUP($B22,seznam!$A$2:$D$269,3))</f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Normal="75" zoomScaleSheetLayoutView="100" zoomScalePageLayoutView="0" workbookViewId="0" topLeftCell="A3">
      <selection activeCell="F21" sqref="F21"/>
    </sheetView>
  </sheetViews>
  <sheetFormatPr defaultColWidth="9.125" defaultRowHeight="12.75"/>
  <cols>
    <col min="1" max="1" width="2.625" style="2" bestFit="1" customWidth="1"/>
    <col min="2" max="2" width="5.00390625" style="2" customWidth="1"/>
    <col min="3" max="3" width="34.375" style="2" bestFit="1" customWidth="1"/>
    <col min="4" max="4" width="0.875" style="2" customWidth="1"/>
    <col min="5" max="7" width="31.50390625" style="2" customWidth="1"/>
    <col min="8" max="16384" width="9.125" style="2" customWidth="1"/>
  </cols>
  <sheetData>
    <row r="1" spans="1:9" ht="27" customHeight="1">
      <c r="A1" s="3"/>
      <c r="B1" s="87" t="s">
        <v>92</v>
      </c>
      <c r="G1" s="88" t="s">
        <v>89</v>
      </c>
      <c r="H1" s="25"/>
      <c r="I1" s="25"/>
    </row>
    <row r="2" spans="2:7" ht="21" customHeight="1">
      <c r="B2" s="81"/>
      <c r="G2" s="20"/>
    </row>
    <row r="3" spans="4:7" ht="13.5">
      <c r="D3" s="4"/>
      <c r="G3" s="82"/>
    </row>
    <row r="4" spans="4:7" ht="13.5">
      <c r="D4" s="4"/>
      <c r="G4" s="82"/>
    </row>
    <row r="5" spans="1:3" ht="26.25" customHeight="1">
      <c r="A5" s="2">
        <v>1</v>
      </c>
      <c r="B5" s="5">
        <v>41</v>
      </c>
      <c r="C5" s="5" t="str">
        <f>IF($B5="","bye",CONCATENATE(VLOOKUP($B5,seznam!$A$2:$E$269,2)," (",VLOOKUP($B5,seznam!$A$2:$E$269,4),")"))</f>
        <v>Sobotíková Monika (MS Brno)</v>
      </c>
    </row>
    <row r="6" spans="4:5" ht="26.25" customHeight="1">
      <c r="D6" s="13"/>
      <c r="E6" s="5" t="str">
        <f>'výsl. žákyně'!P2</f>
        <v>Sobotíková Monika</v>
      </c>
    </row>
    <row r="7" spans="1:5" ht="26.25" customHeight="1">
      <c r="A7" s="2">
        <v>2</v>
      </c>
      <c r="B7" s="5"/>
      <c r="C7" s="5" t="str">
        <f>IF($B7="","bye",CONCATENATE(VLOOKUP($B7,seznam!$A$2:$E$269,2)," (",VLOOKUP($B7,seznam!$A$2:$E$269,4),")"))</f>
        <v>bye</v>
      </c>
      <c r="D7" s="14"/>
      <c r="E7" s="6">
        <f>'výsl. žákyně'!R2</f>
      </c>
    </row>
    <row r="8" spans="4:6" ht="26.25" customHeight="1">
      <c r="D8" s="15"/>
      <c r="E8" s="8"/>
      <c r="F8" s="95" t="str">
        <f>'výsl. žákyně'!P7</f>
        <v>Sobotíková Monika</v>
      </c>
    </row>
    <row r="9" spans="1:6" ht="26.25" customHeight="1">
      <c r="A9" s="2">
        <v>3</v>
      </c>
      <c r="B9" s="5"/>
      <c r="C9" s="5" t="str">
        <f>IF($B9="","bye",CONCATENATE(VLOOKUP($B9,seznam!$A$2:$E$269,2)," (",VLOOKUP($B9,seznam!$A$2:$E$269,4),")"))</f>
        <v>bye</v>
      </c>
      <c r="D9" s="12"/>
      <c r="E9" s="8"/>
      <c r="F9" s="98" t="str">
        <f>'výsl. žákyně'!R7</f>
        <v>3:1 (3,4,-2,11)</v>
      </c>
    </row>
    <row r="10" spans="4:6" ht="26.25" customHeight="1">
      <c r="D10" s="13"/>
      <c r="E10" s="7" t="str">
        <f>'výsl. žákyně'!P3</f>
        <v>Hutáková Pavla </v>
      </c>
      <c r="F10" s="99"/>
    </row>
    <row r="11" spans="1:6" ht="26.25" customHeight="1">
      <c r="A11" s="2">
        <v>4</v>
      </c>
      <c r="B11" s="5">
        <v>49</v>
      </c>
      <c r="C11" s="5" t="str">
        <f>IF($B11="","bye",CONCATENATE(VLOOKUP($B11,seznam!$A$2:$E$269,2)," (",VLOOKUP($B11,seznam!$A$2:$E$269,4),")"))</f>
        <v>Hutáková Pavla  (Klobouky u Brna)</v>
      </c>
      <c r="D11" s="14"/>
      <c r="E11" s="2">
        <f>'výsl. žákyně'!R3</f>
      </c>
      <c r="F11" s="99"/>
    </row>
    <row r="12" spans="4:7" ht="26.25" customHeight="1">
      <c r="D12" s="15"/>
      <c r="F12" s="99"/>
      <c r="G12" s="21" t="str">
        <f>'výsl. žákyně'!P10</f>
        <v>Sobotíková Monika</v>
      </c>
    </row>
    <row r="13" spans="1:7" ht="26.25" customHeight="1">
      <c r="A13" s="2">
        <v>5</v>
      </c>
      <c r="B13" s="5">
        <v>43</v>
      </c>
      <c r="C13" s="5" t="str">
        <f>IF($B13="","bye",CONCATENATE(VLOOKUP($B13,seznam!$A$2:$E$269,2)," (",VLOOKUP($B13,seznam!$A$2:$E$269,4),")"))</f>
        <v>Pilitowská Lea (KST Blansko)</v>
      </c>
      <c r="D13" s="12"/>
      <c r="F13" s="99"/>
      <c r="G13" s="85" t="str">
        <f>'výsl. žákyně'!R10</f>
        <v>3:0 (4,7,8)</v>
      </c>
    </row>
    <row r="14" spans="4:7" ht="26.25" customHeight="1">
      <c r="D14" s="13"/>
      <c r="E14" s="5" t="str">
        <f>'výsl. žákyně'!P4</f>
        <v>Pilitowská Lea</v>
      </c>
      <c r="F14" s="99"/>
      <c r="G14" s="83"/>
    </row>
    <row r="15" spans="1:7" ht="26.25" customHeight="1">
      <c r="A15" s="2">
        <v>6</v>
      </c>
      <c r="B15" s="5"/>
      <c r="C15" s="5" t="str">
        <f>IF($B15="","bye",CONCATENATE(VLOOKUP($B15,seznam!$A$2:$E$269,2)," (",VLOOKUP($B15,seznam!$A$2:$E$269,4),")"))</f>
        <v>bye</v>
      </c>
      <c r="D15" s="14"/>
      <c r="E15" s="6">
        <f>'výsl. žákyně'!R4</f>
      </c>
      <c r="F15" s="99"/>
      <c r="G15" s="83"/>
    </row>
    <row r="16" spans="4:7" ht="26.25" customHeight="1">
      <c r="D16" s="15"/>
      <c r="E16" s="8"/>
      <c r="F16" s="94" t="str">
        <f>'výsl. žákyně'!P8</f>
        <v>Dreits Anastasiia</v>
      </c>
      <c r="G16" s="83"/>
    </row>
    <row r="17" spans="1:7" ht="26.25" customHeight="1">
      <c r="A17" s="2">
        <v>7</v>
      </c>
      <c r="B17" s="5"/>
      <c r="C17" s="5" t="str">
        <f>IF($B17="","bye",CONCATENATE(VLOOKUP($B17,seznam!$A$2:$E$269,2)," (",VLOOKUP($B17,seznam!$A$2:$E$269,4),")"))</f>
        <v>bye</v>
      </c>
      <c r="D17" s="12"/>
      <c r="E17" s="8"/>
      <c r="F17" s="100" t="str">
        <f>'výsl. žákyně'!R8</f>
        <v>3:0 (6,8,5)</v>
      </c>
      <c r="G17" s="83"/>
    </row>
    <row r="18" spans="4:7" ht="26.25" customHeight="1">
      <c r="D18" s="13"/>
      <c r="E18" s="7" t="str">
        <f>'výsl. žákyně'!P5</f>
        <v>Dreits Anastasiia</v>
      </c>
      <c r="F18" s="100"/>
      <c r="G18" s="83"/>
    </row>
    <row r="19" spans="1:7" ht="26.25" customHeight="1">
      <c r="A19" s="2">
        <v>8</v>
      </c>
      <c r="B19" s="5">
        <v>42</v>
      </c>
      <c r="C19" s="5" t="str">
        <f>IF($B19="","bye",CONCATENATE(VLOOKUP($B19,seznam!$A$2:$E$269,2)," (",VLOOKUP($B19,seznam!$A$2:$E$269,4),")"))</f>
        <v>Dreits Anastasiia (Tišnov)</v>
      </c>
      <c r="D19" s="14"/>
      <c r="E19" s="2">
        <f>'výsl. žákyně'!R5</f>
      </c>
      <c r="G19" s="83"/>
    </row>
    <row r="20" spans="4:7" ht="15" customHeight="1">
      <c r="D20" s="15"/>
      <c r="G20" s="83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9.125" defaultRowHeight="12.75"/>
  <cols>
    <col min="1" max="1" width="7.875" style="2" customWidth="1"/>
    <col min="2" max="2" width="4.50390625" style="2" bestFit="1" customWidth="1"/>
    <col min="3" max="3" width="15.125" style="2" bestFit="1" customWidth="1"/>
    <col min="4" max="4" width="19.50390625" style="2" bestFit="1" customWidth="1"/>
    <col min="5" max="5" width="4.50390625" style="2" bestFit="1" customWidth="1"/>
    <col min="6" max="6" width="16.00390625" style="2" bestFit="1" customWidth="1"/>
    <col min="7" max="7" width="19.50390625" style="2" bestFit="1" customWidth="1"/>
    <col min="8" max="12" width="5.375" style="2" customWidth="1"/>
    <col min="13" max="14" width="4.375" style="2" customWidth="1"/>
    <col min="15" max="15" width="4.50390625" style="2" bestFit="1" customWidth="1"/>
    <col min="16" max="16" width="5.50390625" style="2" customWidth="1"/>
    <col min="17" max="17" width="15.00390625" style="2" bestFit="1" customWidth="1"/>
    <col min="18" max="18" width="18.875" style="2" bestFit="1" customWidth="1"/>
    <col min="19" max="19" width="3.50390625" style="2" customWidth="1"/>
    <col min="20" max="24" width="3.00390625" style="2" customWidth="1"/>
    <col min="25" max="16384" width="9.125" style="2" customWidth="1"/>
  </cols>
  <sheetData>
    <row r="1" spans="2:15" ht="14.25" thickBot="1" thickTop="1">
      <c r="B1" s="1" t="s">
        <v>0</v>
      </c>
      <c r="C1" s="1" t="s">
        <v>1</v>
      </c>
      <c r="D1" s="1" t="s">
        <v>2</v>
      </c>
      <c r="E1" s="1" t="s">
        <v>0</v>
      </c>
      <c r="F1" s="1" t="s">
        <v>3</v>
      </c>
      <c r="G1" s="1" t="s">
        <v>2</v>
      </c>
      <c r="H1" s="16" t="s">
        <v>4</v>
      </c>
      <c r="I1" s="17" t="s">
        <v>5</v>
      </c>
      <c r="J1" s="17" t="s">
        <v>6</v>
      </c>
      <c r="K1" s="17" t="s">
        <v>7</v>
      </c>
      <c r="L1" s="18" t="s">
        <v>8</v>
      </c>
      <c r="M1" s="1" t="s">
        <v>9</v>
      </c>
      <c r="N1" s="1" t="s">
        <v>10</v>
      </c>
      <c r="O1" s="1" t="s">
        <v>11</v>
      </c>
    </row>
    <row r="2" spans="1:24" ht="13.5" thickTop="1">
      <c r="A2" s="2" t="s">
        <v>44</v>
      </c>
      <c r="B2" s="2">
        <v>41</v>
      </c>
      <c r="C2" s="2" t="str">
        <f>IF($B2=0,"bye",VLOOKUP($B2,seznam!$A$2:$D$269,2))</f>
        <v>Sobotíková Monika</v>
      </c>
      <c r="D2" s="2" t="str">
        <f>IF($B2=0,"",VLOOKUP($B2,seznam!$A$2:$E$269,4))</f>
        <v>MS Brno</v>
      </c>
      <c r="E2" s="2">
        <v>0</v>
      </c>
      <c r="F2" s="2" t="str">
        <f>IF($E2=0,"bye",VLOOKUP($E2,seznam!$A$2:$D$269,2))</f>
        <v>bye</v>
      </c>
      <c r="G2" s="2">
        <f>IF($E2=0,"",VLOOKUP($E2,seznam!$A$2:$E$269,4))</f>
      </c>
      <c r="H2" s="66" t="s">
        <v>95</v>
      </c>
      <c r="I2" s="67"/>
      <c r="J2" s="67"/>
      <c r="K2" s="67"/>
      <c r="L2" s="68"/>
      <c r="M2" s="2">
        <f>COUNTIF(T2:X2,"&gt;0")</f>
        <v>1</v>
      </c>
      <c r="N2" s="2">
        <f>COUNTIF(T2:X2,"&lt;0")</f>
        <v>0</v>
      </c>
      <c r="O2" s="2">
        <f>IF(M2=N2,0,IF(M2&gt;N2,B2,E2))</f>
        <v>41</v>
      </c>
      <c r="P2" s="2" t="str">
        <f>IF($O2=0,"",VLOOKUP($O2,seznam!$A$2:$D$269,2))</f>
        <v>Sobotíková Monika</v>
      </c>
      <c r="Q2" s="2" t="str">
        <f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>1:0 (0,,)</v>
      </c>
      <c r="R2" s="2">
        <f>IF(MAX(M2:N2)=3,Q2,"")</f>
      </c>
      <c r="S2" s="25"/>
      <c r="T2" s="25">
        <f aca="true" t="shared" si="0" ref="T2:X5">IF(H2="",0,IF(MID(H2,1,1)="-",-1,1))</f>
        <v>1</v>
      </c>
      <c r="U2" s="25">
        <f t="shared" si="0"/>
        <v>0</v>
      </c>
      <c r="V2" s="25">
        <f t="shared" si="0"/>
        <v>0</v>
      </c>
      <c r="W2" s="25">
        <f t="shared" si="0"/>
        <v>0</v>
      </c>
      <c r="X2" s="25">
        <f t="shared" si="0"/>
        <v>0</v>
      </c>
    </row>
    <row r="3" spans="1:24" ht="12.75">
      <c r="A3" s="2" t="s">
        <v>44</v>
      </c>
      <c r="B3" s="2">
        <v>0</v>
      </c>
      <c r="C3" s="2" t="str">
        <f>IF($B3=0,"bye",VLOOKUP($B3,seznam!$A$2:$D$269,2))</f>
        <v>bye</v>
      </c>
      <c r="D3" s="2">
        <f>IF($B3=0,"",VLOOKUP($B3,seznam!$A$2:$E$269,4))</f>
      </c>
      <c r="E3" s="2">
        <v>49</v>
      </c>
      <c r="F3" s="2" t="str">
        <f>IF($E3=0,"bye",VLOOKUP($E3,seznam!$A$2:$D$269,2))</f>
        <v>Hutáková Pavla </v>
      </c>
      <c r="G3" s="2" t="str">
        <f>IF($E3=0,"",VLOOKUP($E3,seznam!$A$2:$E$269,4))</f>
        <v>Klobouky u Brna</v>
      </c>
      <c r="H3" s="69" t="s">
        <v>115</v>
      </c>
      <c r="I3" s="70"/>
      <c r="J3" s="70"/>
      <c r="K3" s="70"/>
      <c r="L3" s="71"/>
      <c r="M3" s="2">
        <f>COUNTIF(T3:X3,"&gt;0")</f>
        <v>0</v>
      </c>
      <c r="N3" s="2">
        <f>COUNTIF(T3:X3,"&lt;0")</f>
        <v>1</v>
      </c>
      <c r="O3" s="2">
        <f>IF(M3=N3,0,IF(M3&gt;N3,B3,E3))</f>
        <v>49</v>
      </c>
      <c r="P3" s="2" t="str">
        <f>IF($O3=0,"",VLOOKUP($O3,seznam!$A$2:$D$269,2))</f>
        <v>Hutáková Pavla </v>
      </c>
      <c r="Q3" s="2" t="str">
        <f>IF(M3=N3,"",IF(M3&gt;N3,CONCATENATE(M3,":",N3," (",H3,",",I3,",",J3,IF(SUM(M3:N3)&gt;3,",",""),K3,IF(SUM(M3:N3)&gt;4,",",""),L3,")"),CONCATENATE(N3,":",M3," (",IF(H3="0","-0",-H3),",",IF(I3="0","-0",-I3),",",IF(J3="0","-0",-J3),IF(SUM(M3:N3)&gt;3,CONCATENATE(",",IF(K3="0","-0",-K3)),""),IF(SUM(M3:N3)&gt;4,CONCATENATE(",",IF(L3="0","-0",-L3)),""),")")))</f>
        <v>1:0 (0,0,0)</v>
      </c>
      <c r="R3" s="2">
        <f>IF(MAX(M3:N3)=3,Q3,"")</f>
      </c>
      <c r="T3" s="25">
        <f t="shared" si="0"/>
        <v>-1</v>
      </c>
      <c r="U3" s="25">
        <f t="shared" si="0"/>
        <v>0</v>
      </c>
      <c r="V3" s="25">
        <f t="shared" si="0"/>
        <v>0</v>
      </c>
      <c r="W3" s="25">
        <f t="shared" si="0"/>
        <v>0</v>
      </c>
      <c r="X3" s="25">
        <f t="shared" si="0"/>
        <v>0</v>
      </c>
    </row>
    <row r="4" spans="1:24" ht="12.75">
      <c r="A4" s="2" t="s">
        <v>44</v>
      </c>
      <c r="B4" s="2">
        <v>43</v>
      </c>
      <c r="C4" s="2" t="str">
        <f>IF($B4=0,"bye",VLOOKUP($B4,seznam!$A$2:$D$269,2))</f>
        <v>Pilitowská Lea</v>
      </c>
      <c r="D4" s="2" t="str">
        <f>IF($B4=0,"",VLOOKUP($B4,seznam!$A$2:$E$269,4))</f>
        <v>KST Blansko</v>
      </c>
      <c r="E4" s="2">
        <v>0</v>
      </c>
      <c r="F4" s="2" t="str">
        <f>IF($E4=0,"bye",VLOOKUP($E4,seznam!$A$2:$D$269,2))</f>
        <v>bye</v>
      </c>
      <c r="G4" s="2">
        <f>IF($E4=0,"",VLOOKUP($E4,seznam!$A$2:$E$269,4))</f>
      </c>
      <c r="H4" s="69" t="s">
        <v>95</v>
      </c>
      <c r="I4" s="70"/>
      <c r="J4" s="70"/>
      <c r="K4" s="70"/>
      <c r="L4" s="71"/>
      <c r="M4" s="2">
        <f>COUNTIF(T4:X4,"&gt;0")</f>
        <v>1</v>
      </c>
      <c r="N4" s="2">
        <f>COUNTIF(T4:X4,"&lt;0")</f>
        <v>0</v>
      </c>
      <c r="O4" s="2">
        <f>IF(M4=N4,0,IF(M4&gt;N4,B4,E4))</f>
        <v>43</v>
      </c>
      <c r="P4" s="2" t="str">
        <f>IF($O4=0,"",VLOOKUP($O4,seznam!$A$2:$D$269,2))</f>
        <v>Pilitowská Lea</v>
      </c>
      <c r="Q4" s="2" t="str">
        <f>IF(M4=N4,"",IF(M4&gt;N4,CONCATENATE(M4,":",N4," (",H4,",",I4,",",J4,IF(SUM(M4:N4)&gt;3,",",""),K4,IF(SUM(M4:N4)&gt;4,",",""),L4,")"),CONCATENATE(N4,":",M4," (",IF(H4="0","-0",-H4),",",IF(I4="0","-0",-I4),",",IF(J4="0","-0",-J4),IF(SUM(M4:N4)&gt;3,CONCATENATE(",",IF(K4="0","-0",-K4)),""),IF(SUM(M4:N4)&gt;4,CONCATENATE(",",IF(L4="0","-0",-L4)),""),")")))</f>
        <v>1:0 (0,,)</v>
      </c>
      <c r="R4" s="2">
        <f>IF(MAX(M4:N4)=3,Q4,"")</f>
      </c>
      <c r="T4" s="25">
        <f t="shared" si="0"/>
        <v>1</v>
      </c>
      <c r="U4" s="25">
        <f t="shared" si="0"/>
        <v>0</v>
      </c>
      <c r="V4" s="25">
        <f t="shared" si="0"/>
        <v>0</v>
      </c>
      <c r="W4" s="25">
        <f t="shared" si="0"/>
        <v>0</v>
      </c>
      <c r="X4" s="25">
        <f t="shared" si="0"/>
        <v>0</v>
      </c>
    </row>
    <row r="5" spans="1:24" ht="12.75">
      <c r="A5" s="2" t="s">
        <v>44</v>
      </c>
      <c r="B5" s="2">
        <f>'2.st žákyně'!$B$17</f>
        <v>0</v>
      </c>
      <c r="C5" s="2" t="str">
        <f>IF($B5=0,"bye",VLOOKUP($B5,seznam!$A$2:$D$269,2))</f>
        <v>bye</v>
      </c>
      <c r="D5" s="2">
        <f>IF($B5=0,"",VLOOKUP($B5,seznam!$A$2:$E$269,4))</f>
      </c>
      <c r="E5" s="2">
        <v>42</v>
      </c>
      <c r="F5" s="2" t="str">
        <f>IF($E5=0,"bye",VLOOKUP($E5,seznam!$A$2:$D$269,2))</f>
        <v>Dreits Anastasiia</v>
      </c>
      <c r="G5" s="2" t="str">
        <f>IF($E5=0,"",VLOOKUP($E5,seznam!$A$2:$E$269,4))</f>
        <v>Tišnov</v>
      </c>
      <c r="H5" s="69" t="s">
        <v>115</v>
      </c>
      <c r="I5" s="70"/>
      <c r="J5" s="70"/>
      <c r="K5" s="70"/>
      <c r="L5" s="71"/>
      <c r="M5" s="2">
        <f>COUNTIF(T5:X5,"&gt;0")</f>
        <v>0</v>
      </c>
      <c r="N5" s="2">
        <f>COUNTIF(T5:X5,"&lt;0")</f>
        <v>1</v>
      </c>
      <c r="O5" s="2">
        <f>IF(M5=N5,0,IF(M5&gt;N5,B5,E5))</f>
        <v>42</v>
      </c>
      <c r="P5" s="2" t="str">
        <f>IF($O5=0,"",VLOOKUP($O5,seznam!$A$2:$D$269,2))</f>
        <v>Dreits Anastasiia</v>
      </c>
      <c r="Q5" s="2" t="str">
        <f>IF(M5=N5,"",IF(M5&gt;N5,CONCATENATE(M5,":",N5," (",H5,",",I5,",",J5,IF(SUM(M5:N5)&gt;3,",",""),K5,IF(SUM(M5:N5)&gt;4,",",""),L5,")"),CONCATENATE(N5,":",M5," (",IF(H5="0","-0",-H5),",",IF(I5="0","-0",-I5),",",IF(J5="0","-0",-J5),IF(SUM(M5:N5)&gt;3,CONCATENATE(",",IF(K5="0","-0",-K5)),""),IF(SUM(M5:N5)&gt;4,CONCATENATE(",",IF(L5="0","-0",-L5)),""),")")))</f>
        <v>1:0 (0,0,0)</v>
      </c>
      <c r="R5" s="2">
        <f>IF(MAX(M5:N5)=3,Q5,"")</f>
      </c>
      <c r="T5" s="25">
        <f t="shared" si="0"/>
        <v>-1</v>
      </c>
      <c r="U5" s="25">
        <f t="shared" si="0"/>
        <v>0</v>
      </c>
      <c r="V5" s="25">
        <f t="shared" si="0"/>
        <v>0</v>
      </c>
      <c r="W5" s="25">
        <f t="shared" si="0"/>
        <v>0</v>
      </c>
      <c r="X5" s="25">
        <f t="shared" si="0"/>
        <v>0</v>
      </c>
    </row>
    <row r="6" spans="8:12" ht="13.5" thickBot="1">
      <c r="H6" s="19"/>
      <c r="I6" s="19"/>
      <c r="J6" s="19"/>
      <c r="K6" s="19"/>
      <c r="L6" s="19"/>
    </row>
    <row r="7" spans="1:24" ht="13.5" thickTop="1">
      <c r="A7" s="2" t="s">
        <v>46</v>
      </c>
      <c r="B7" s="2">
        <v>41</v>
      </c>
      <c r="C7" s="2" t="str">
        <f>IF($B7=0,"",VLOOKUP($B7,seznam!$A$2:$D$269,2))</f>
        <v>Sobotíková Monika</v>
      </c>
      <c r="D7" s="2" t="str">
        <f>IF($B7=0,"",VLOOKUP($B7,seznam!$A$2:$E$269,4))</f>
        <v>MS Brno</v>
      </c>
      <c r="E7" s="2">
        <v>49</v>
      </c>
      <c r="F7" s="2" t="str">
        <f>IF($E7=0,"",VLOOKUP($E7,seznam!$A$2:$D$269,2))</f>
        <v>Hutáková Pavla </v>
      </c>
      <c r="G7" s="2" t="str">
        <f>IF($E7=0,"",VLOOKUP($E7,seznam!$A$2:$E$269,4))</f>
        <v>Klobouky u Brna</v>
      </c>
      <c r="H7" s="66" t="s">
        <v>99</v>
      </c>
      <c r="I7" s="67" t="s">
        <v>105</v>
      </c>
      <c r="J7" s="67" t="s">
        <v>106</v>
      </c>
      <c r="K7" s="67" t="s">
        <v>120</v>
      </c>
      <c r="L7" s="68"/>
      <c r="M7" s="2">
        <f>COUNTIF(T7:X7,"&gt;0")</f>
        <v>3</v>
      </c>
      <c r="N7" s="2">
        <f>COUNTIF(T7:X7,"&lt;0")</f>
        <v>1</v>
      </c>
      <c r="O7" s="2">
        <f>IF(M7=N7,0,IF(M7&gt;N7,B7,E7))</f>
        <v>41</v>
      </c>
      <c r="P7" s="2" t="str">
        <f>IF($O7=0,"",VLOOKUP($O7,seznam!$A$2:$D$269,2))</f>
        <v>Sobotíková Monika</v>
      </c>
      <c r="Q7" s="2" t="str">
        <f>IF(M7=N7,"",IF(M7&gt;N7,CONCATENATE(M7,":",N7," (",H7,",",I7,",",J7,IF(SUM(M7:N7)&gt;3,",",""),K7,IF(SUM(M7:N7)&gt;4,",",""),L7,")"),CONCATENATE(N7,":",M7," (",IF(H7="0","-0",-H7),",",IF(I7="0","-0",-I7),",",IF(J7="0","-0",-J7),IF(SUM(M7:N7)&gt;3,CONCATENATE(",",IF(K7="0","-0",-K7)),""),IF(SUM(M7:N7)&gt;4,CONCATENATE(",",IF(L7="0","-0",-L7)),""),")")))</f>
        <v>3:1 (3,4,-2,11)</v>
      </c>
      <c r="R7" s="2" t="str">
        <f>IF(MAX(M7:N7)=3,Q7,"")</f>
        <v>3:1 (3,4,-2,11)</v>
      </c>
      <c r="T7" s="25">
        <f aca="true" t="shared" si="1" ref="T7:X8">IF(H7="",0,IF(MID(H7,1,1)="-",-1,1))</f>
        <v>1</v>
      </c>
      <c r="U7" s="25">
        <f t="shared" si="1"/>
        <v>1</v>
      </c>
      <c r="V7" s="25">
        <f t="shared" si="1"/>
        <v>-1</v>
      </c>
      <c r="W7" s="25">
        <f t="shared" si="1"/>
        <v>1</v>
      </c>
      <c r="X7" s="25">
        <f t="shared" si="1"/>
        <v>0</v>
      </c>
    </row>
    <row r="8" spans="1:24" ht="12.75">
      <c r="A8" s="2" t="s">
        <v>46</v>
      </c>
      <c r="B8" s="2">
        <v>43</v>
      </c>
      <c r="C8" s="2" t="str">
        <f>IF($B8=0,"",VLOOKUP($B8,seznam!$A$2:$D$269,2))</f>
        <v>Pilitowská Lea</v>
      </c>
      <c r="D8" s="2" t="str">
        <f>IF($B8=0,"",VLOOKUP($B8,seznam!$A$2:$E$269,4))</f>
        <v>KST Blansko</v>
      </c>
      <c r="E8" s="2">
        <v>42</v>
      </c>
      <c r="F8" s="2" t="str">
        <f>IF($E8=0,"",VLOOKUP($E8,seznam!$A$2:$D$269,2))</f>
        <v>Dreits Anastasiia</v>
      </c>
      <c r="G8" s="2" t="str">
        <f>IF($E8=0,"",VLOOKUP($E8,seznam!$A$2:$E$269,4))</f>
        <v>Tišnov</v>
      </c>
      <c r="H8" s="69" t="s">
        <v>104</v>
      </c>
      <c r="I8" s="70" t="s">
        <v>114</v>
      </c>
      <c r="J8" s="70" t="s">
        <v>109</v>
      </c>
      <c r="K8" s="70"/>
      <c r="L8" s="71"/>
      <c r="M8" s="2">
        <f>COUNTIF(T8:X8,"&gt;0")</f>
        <v>0</v>
      </c>
      <c r="N8" s="2">
        <f>COUNTIF(T8:X8,"&lt;0")</f>
        <v>3</v>
      </c>
      <c r="O8" s="2">
        <f>IF(M8=N8,0,IF(M8&gt;N8,B8,E8))</f>
        <v>42</v>
      </c>
      <c r="P8" s="2" t="str">
        <f>IF($O8=0,"",VLOOKUP($O8,seznam!$A$2:$D$269,2))</f>
        <v>Dreits Anastasiia</v>
      </c>
      <c r="Q8" s="2" t="str">
        <f>IF(M8=N8,"",IF(M8&gt;N8,CONCATENATE(M8,":",N8," (",H8,",",I8,",",J8,IF(SUM(M8:N8)&gt;3,",",""),K8,IF(SUM(M8:N8)&gt;4,",",""),L8,")"),CONCATENATE(N8,":",M8," (",IF(H8="0","-0",-H8),",",IF(I8="0","-0",-I8),",",IF(J8="0","-0",-J8),IF(SUM(M8:N8)&gt;3,CONCATENATE(",",IF(K8="0","-0",-K8)),""),IF(SUM(M8:N8)&gt;4,CONCATENATE(",",IF(L8="0","-0",-L8)),""),")")))</f>
        <v>3:0 (6,8,5)</v>
      </c>
      <c r="R8" s="2" t="str">
        <f>IF(MAX(M8:N8)=3,Q8,"")</f>
        <v>3:0 (6,8,5)</v>
      </c>
      <c r="T8" s="25">
        <f t="shared" si="1"/>
        <v>-1</v>
      </c>
      <c r="U8" s="25">
        <f t="shared" si="1"/>
        <v>-1</v>
      </c>
      <c r="V8" s="25">
        <f t="shared" si="1"/>
        <v>-1</v>
      </c>
      <c r="W8" s="25">
        <f t="shared" si="1"/>
        <v>0</v>
      </c>
      <c r="X8" s="25">
        <f t="shared" si="1"/>
        <v>0</v>
      </c>
    </row>
    <row r="9" spans="8:12" ht="13.5" thickBot="1">
      <c r="H9" s="19"/>
      <c r="I9" s="19"/>
      <c r="J9" s="19"/>
      <c r="K9" s="19"/>
      <c r="L9" s="19"/>
    </row>
    <row r="10" spans="1:24" ht="13.5" thickTop="1">
      <c r="A10" s="2" t="s">
        <v>47</v>
      </c>
      <c r="B10" s="2">
        <f>O7</f>
        <v>41</v>
      </c>
      <c r="C10" s="2" t="str">
        <f>IF($B10=0,"",VLOOKUP($B10,seznam!$A$2:$D$269,2))</f>
        <v>Sobotíková Monika</v>
      </c>
      <c r="D10" s="2" t="str">
        <f>IF($B10=0,"",VLOOKUP($B10,seznam!$A$2:$E$269,4))</f>
        <v>MS Brno</v>
      </c>
      <c r="E10" s="2">
        <f>O8</f>
        <v>42</v>
      </c>
      <c r="F10" s="2" t="str">
        <f>IF($E10=0,"",VLOOKUP($E10,seznam!$A$2:$D$269,2))</f>
        <v>Dreits Anastasiia</v>
      </c>
      <c r="G10" s="2" t="str">
        <f>IF($E10=0,"",VLOOKUP($E10,seznam!$A$2:$E$269,4))</f>
        <v>Tišnov</v>
      </c>
      <c r="H10" s="66" t="s">
        <v>105</v>
      </c>
      <c r="I10" s="67" t="s">
        <v>100</v>
      </c>
      <c r="J10" s="67" t="s">
        <v>94</v>
      </c>
      <c r="K10" s="67"/>
      <c r="L10" s="68"/>
      <c r="M10" s="2">
        <f>COUNTIF(T10:X10,"&gt;0")</f>
        <v>3</v>
      </c>
      <c r="N10" s="2">
        <f>COUNTIF(T10:X10,"&lt;0")</f>
        <v>0</v>
      </c>
      <c r="O10" s="2">
        <f>IF(M10=N10,0,IF(M10&gt;N10,B10,E10))</f>
        <v>41</v>
      </c>
      <c r="P10" s="2" t="str">
        <f>IF($O10=0,"",VLOOKUP($O10,seznam!$A$2:$D$269,2))</f>
        <v>Sobotíková Monika</v>
      </c>
      <c r="Q10" s="2" t="str">
        <f>IF(M10=N10,"",IF(M10&gt;N10,CONCATENATE(M10,":",N10," (",H10,",",I10,",",J10,IF(SUM(M10:N10)&gt;3,",",""),K10,IF(SUM(M10:N10)&gt;4,",",""),L10,")"),CONCATENATE(N10,":",M10," (",IF(H10="0","-0",-H10),",",IF(I10="0","-0",-I10),",",IF(J10="0","-0",-J10),IF(SUM(M10:N10)&gt;3,CONCATENATE(",",IF(K10="0","-0",-K10)),""),IF(SUM(M10:N10)&gt;4,CONCATENATE(",",IF(L10="0","-0",-L10)),""),")")))</f>
        <v>3:0 (4,7,8)</v>
      </c>
      <c r="R10" s="2" t="str">
        <f>IF(MAX(M10:N10)=3,Q10,"")</f>
        <v>3:0 (4,7,8)</v>
      </c>
      <c r="T10" s="25">
        <f>IF(H10="",0,IF(MID(H10,1,1)="-",-1,1))</f>
        <v>1</v>
      </c>
      <c r="U10" s="25">
        <f>IF(I10="",0,IF(MID(I10,1,1)="-",-1,1))</f>
        <v>1</v>
      </c>
      <c r="V10" s="25">
        <f>IF(J10="",0,IF(MID(J10,1,1)="-",-1,1))</f>
        <v>1</v>
      </c>
      <c r="W10" s="25">
        <f>IF(K10="",0,IF(MID(K10,1,1)="-",-1,1))</f>
        <v>0</v>
      </c>
      <c r="X10" s="25">
        <f>IF(L10="",0,IF(MID(L10,1,1)="-",-1,1))</f>
        <v>0</v>
      </c>
    </row>
    <row r="11" spans="8:12" ht="12.75">
      <c r="H11" s="19"/>
      <c r="I11" s="19"/>
      <c r="J11" s="19"/>
      <c r="K11" s="19"/>
      <c r="L11" s="19"/>
    </row>
    <row r="12" spans="3:4" ht="12.75">
      <c r="C12" s="2">
        <f>IF($B12=0,"",VLOOKUP($B12,seznam!$A$2:$D$269,2))</f>
      </c>
      <c r="D12" s="2">
        <f>IF($B12=0,"",VLOOKUP($B12,seznam!$A$2:$D$269,3))</f>
      </c>
    </row>
    <row r="13" spans="3:4" ht="12.75">
      <c r="C13" s="2">
        <f>IF($B13=0,"",VLOOKUP($B13,seznam!$A$2:$D$269,2))</f>
      </c>
      <c r="D13" s="2">
        <f>IF($B13=0,"",VLOOKUP($B13,seznam!$A$2:$D$269,3))</f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">
      <selection activeCell="H1" sqref="H1"/>
    </sheetView>
  </sheetViews>
  <sheetFormatPr defaultColWidth="9.125" defaultRowHeight="12.75"/>
  <cols>
    <col min="1" max="1" width="3.50390625" style="2" bestFit="1" customWidth="1"/>
    <col min="2" max="2" width="4.125" style="2" customWidth="1"/>
    <col min="3" max="3" width="32.00390625" style="2" customWidth="1"/>
    <col min="4" max="4" width="0.875" style="2" customWidth="1"/>
    <col min="5" max="6" width="18.375" style="2" bestFit="1" customWidth="1"/>
    <col min="7" max="7" width="19.125" style="2" bestFit="1" customWidth="1"/>
    <col min="8" max="8" width="19.375" style="2" customWidth="1"/>
    <col min="9" max="16384" width="9.125" style="2" customWidth="1"/>
  </cols>
  <sheetData>
    <row r="1" spans="1:9" ht="27" customHeight="1">
      <c r="A1" s="3"/>
      <c r="B1" s="87" t="s">
        <v>124</v>
      </c>
      <c r="G1" s="88" t="s">
        <v>89</v>
      </c>
      <c r="I1" s="25"/>
    </row>
    <row r="2" spans="2:8" ht="21" customHeight="1">
      <c r="B2" s="4"/>
      <c r="H2" s="20"/>
    </row>
    <row r="3" spans="2:8" ht="13.5">
      <c r="B3" s="2">
        <v>1</v>
      </c>
      <c r="C3" s="2" t="str">
        <f>IF($B3="","",CONCATENATE(VLOOKUP($B3,seznam!$A$2:$B$269,2)," (",VLOOKUP($B3,seznam!$A$2:$E$269,4),")"))</f>
        <v>Nespěšný Hynek (MS Brno)</v>
      </c>
      <c r="D3" s="4"/>
      <c r="H3" s="15"/>
    </row>
    <row r="4" spans="1:5" ht="12.75">
      <c r="A4" s="2">
        <v>1</v>
      </c>
      <c r="B4" s="5">
        <v>3</v>
      </c>
      <c r="C4" s="5" t="str">
        <f>IF($B4="","bye",CONCATENATE(VLOOKUP($B4,seznam!$A$2:$B$269,2)," (",VLOOKUP($B4,seznam!$A$2:$E$269,4),")"))</f>
        <v>Drápal Mětoděj (MS Brno)</v>
      </c>
      <c r="E4" s="2" t="str">
        <f>'výsl. čt. žáci'!V2</f>
        <v>Nespěšný Hynek</v>
      </c>
    </row>
    <row r="5" spans="3:5" ht="12.75">
      <c r="C5" s="2">
        <f>IF($B5="","",CONCATENATE(VLOOKUP($B5,seznam!$A$2:$B$269,2)," (",VLOOKUP($B5,seznam!$A$2:$E$269,4),")"))</f>
      </c>
      <c r="D5" s="13"/>
      <c r="E5" s="5" t="str">
        <f>'výsl. čt. žáci'!X2</f>
        <v>Drápal Mětoděj</v>
      </c>
    </row>
    <row r="6" spans="1:6" ht="12.75">
      <c r="A6" s="2">
        <v>2</v>
      </c>
      <c r="B6" s="5"/>
      <c r="C6" s="5" t="str">
        <f>IF($B6="","bye",CONCATENATE(VLOOKUP($B6,seznam!$A$2:$B$269,2)," (",VLOOKUP($B6,seznam!$A$2:$E$269,4),")"))</f>
        <v>bye</v>
      </c>
      <c r="D6" s="14"/>
      <c r="E6" s="6"/>
      <c r="F6" s="2" t="s">
        <v>59</v>
      </c>
    </row>
    <row r="7" spans="4:6" ht="12.75">
      <c r="D7" s="15"/>
      <c r="E7" s="8"/>
      <c r="F7" s="5" t="s">
        <v>123</v>
      </c>
    </row>
    <row r="8" spans="1:6" ht="12.75">
      <c r="A8" s="2">
        <v>3</v>
      </c>
      <c r="B8" s="5"/>
      <c r="C8" s="5" t="str">
        <f>IF($B8="","bye",CONCATENATE(VLOOKUP($B8,seznam!$A$2:$B$269,2)," (",VLOOKUP($B8,seznam!$A$2:$E$269,4),")"))</f>
        <v>bye</v>
      </c>
      <c r="D8" s="12"/>
      <c r="E8" s="8">
        <f>'výsl. čt. žáci'!V3</f>
      </c>
      <c r="F8" s="6"/>
    </row>
    <row r="9" spans="3:6" ht="12.75">
      <c r="C9" s="2">
        <f>IF($B9="","",CONCATENATE(VLOOKUP($B9,seznam!$A$2:$B$269,2)," (",VLOOKUP($B9,seznam!$A$2:$E$269,4),")"))</f>
      </c>
      <c r="D9" s="13"/>
      <c r="E9" s="7" t="s">
        <v>119</v>
      </c>
      <c r="F9" s="8"/>
    </row>
    <row r="10" spans="1:7" ht="12.75">
      <c r="A10" s="2">
        <v>4</v>
      </c>
      <c r="B10" s="5"/>
      <c r="C10" s="5" t="str">
        <f>IF($B10="","bye",CONCATENATE(VLOOKUP($B10,seznam!$A$2:$B$269,2)," (",VLOOKUP($B10,seznam!$A$2:$E$269,4),")"))</f>
        <v>bye</v>
      </c>
      <c r="D10" s="14"/>
      <c r="F10" s="8"/>
      <c r="G10" s="2" t="str">
        <f>'výsl. čt. žáci'!V14</f>
        <v>Nespěšný Hynek</v>
      </c>
    </row>
    <row r="11" spans="3:7" ht="12.75">
      <c r="C11" s="2">
        <f>IF($B11="","",CONCATENATE(VLOOKUP($B11,seznam!$A$2:$B$269,2)," (",VLOOKUP($B11,seznam!$A$2:$E$269,4),")"))</f>
      </c>
      <c r="D11" s="15"/>
      <c r="F11" s="8"/>
      <c r="G11" s="9" t="str">
        <f>'výsl. čt. žáci'!X14</f>
        <v>Drápal Mětoděj</v>
      </c>
    </row>
    <row r="12" spans="1:7" ht="12.75">
      <c r="A12" s="2">
        <v>5</v>
      </c>
      <c r="B12" s="5"/>
      <c r="C12" s="5" t="str">
        <f>IF($B12="","bye",CONCATENATE(VLOOKUP($B12,seznam!$A$2:$B$269,2)," (",VLOOKUP($B12,seznam!$A$2:$E$269,4),")"))</f>
        <v>bye</v>
      </c>
      <c r="D12" s="12"/>
      <c r="E12" s="2">
        <f>'výsl. čt. žáci'!V4</f>
      </c>
      <c r="F12" s="8"/>
      <c r="G12" s="6" t="str">
        <f>'výsl. čt. žáci'!Z14</f>
        <v>3:1 (-7,1,2,2)</v>
      </c>
    </row>
    <row r="13" spans="3:7" ht="12.75">
      <c r="C13" s="2">
        <f>IF($B13="","",CONCATENATE(VLOOKUP($B13,seznam!$A$2:$B$269,2)," (",VLOOKUP($B13,seznam!$A$2:$E$269,4),")"))</f>
      </c>
      <c r="D13" s="13"/>
      <c r="E13" s="5" t="s">
        <v>119</v>
      </c>
      <c r="F13" s="8"/>
      <c r="G13" s="8"/>
    </row>
    <row r="14" spans="1:7" ht="12.75">
      <c r="A14" s="2">
        <v>6</v>
      </c>
      <c r="B14" s="5"/>
      <c r="C14" s="5" t="str">
        <f>IF($B14="","bye",CONCATENATE(VLOOKUP($B14,seznam!$A$2:$B$269,2)," (",VLOOKUP($B14,seznam!$A$2:$E$269,4),")"))</f>
        <v>bye</v>
      </c>
      <c r="D14" s="14"/>
      <c r="E14" s="6"/>
      <c r="F14" s="8" t="str">
        <f>'výsl. čt. žáci'!V11</f>
        <v>Kurdiovský Matěj</v>
      </c>
      <c r="G14" s="8"/>
    </row>
    <row r="15" spans="3:7" ht="12.75">
      <c r="C15" s="2">
        <f>IF($B15="","",CONCATENATE(VLOOKUP($B15,seznam!$A$2:$B$269,2)," (",VLOOKUP($B15,seznam!$A$2:$E$269,4),")"))</f>
      </c>
      <c r="D15" s="15"/>
      <c r="E15" s="8"/>
      <c r="F15" s="10" t="str">
        <f>'výsl. čt. žáci'!X11</f>
        <v>Šimeček Robin</v>
      </c>
      <c r="G15" s="8"/>
    </row>
    <row r="16" spans="1:7" ht="12.75">
      <c r="A16" s="2">
        <v>7</v>
      </c>
      <c r="B16" s="5"/>
      <c r="C16" s="5" t="str">
        <f>IF($B16="","bye",CONCATENATE(VLOOKUP($B16,seznam!$A$2:$B$269,2)," (",VLOOKUP($B16,seznam!$A$2:$E$269,4),")"))</f>
        <v>bye</v>
      </c>
      <c r="D16" s="12"/>
      <c r="E16" s="8" t="str">
        <f>'výsl. čt. žáci'!V5</f>
        <v>Kurdiovský Matěj</v>
      </c>
      <c r="G16" s="8"/>
    </row>
    <row r="17" spans="2:7" ht="12.75">
      <c r="B17" s="2">
        <v>8</v>
      </c>
      <c r="C17" s="2" t="str">
        <f>IF($B17="","",CONCATENATE(VLOOKUP($B17,seznam!$A$2:$B$269,2)," (",VLOOKUP($B17,seznam!$A$2:$E$269,4),")"))</f>
        <v>Kurdiovský Matěj (Tišnov)</v>
      </c>
      <c r="D17" s="13"/>
      <c r="E17" s="7" t="str">
        <f>'výsl. čt. žáci'!X5</f>
        <v>Šimeček Robin</v>
      </c>
      <c r="G17" s="8"/>
    </row>
    <row r="18" spans="1:8" ht="12.75">
      <c r="A18" s="2">
        <v>8</v>
      </c>
      <c r="B18" s="5">
        <v>10</v>
      </c>
      <c r="C18" s="5" t="str">
        <f>IF($B18="","bye",CONCATENATE(VLOOKUP($B18,seznam!$A$2:$B$269,2)," (",VLOOKUP($B18,seznam!$A$2:$E$269,4),")"))</f>
        <v>Šimeček Robin (TJ Holásky)</v>
      </c>
      <c r="D18" s="14"/>
      <c r="G18" s="8"/>
      <c r="H18" s="1" t="str">
        <f>'výsl. čt. žáci'!V16</f>
        <v>Nespěšný Hynek</v>
      </c>
    </row>
    <row r="19" spans="2:8" ht="12.75">
      <c r="B19" s="2">
        <v>5</v>
      </c>
      <c r="C19" s="2" t="str">
        <f>IF($B19="","",CONCATENATE(VLOOKUP($B19,seznam!$A$2:$B$269,2)," (",VLOOKUP($B19,seznam!$A$2:$E$269,4),")"))</f>
        <v>Horníček Lukáš (MS Brno)</v>
      </c>
      <c r="D19" s="15"/>
      <c r="G19" s="8"/>
      <c r="H19" s="21" t="str">
        <f>'výsl. čt. žáci'!X16</f>
        <v>Drápal Mětoděj</v>
      </c>
    </row>
    <row r="20" spans="1:9" ht="12.75">
      <c r="A20" s="2">
        <v>9</v>
      </c>
      <c r="B20" s="5">
        <v>6</v>
      </c>
      <c r="C20" s="5" t="str">
        <f>IF($B20="","bye",CONCATENATE(VLOOKUP($B20,seznam!$A$2:$B$269,2)," (",VLOOKUP($B20,seznam!$A$2:$E$269,4),")"))</f>
        <v>Havránek Ondřej (MS Brno)</v>
      </c>
      <c r="D20" s="12"/>
      <c r="E20" s="2" t="str">
        <f>'výsl. čt. žáci'!V6</f>
        <v>Horníček Lukáš</v>
      </c>
      <c r="G20" s="8"/>
      <c r="H20" s="85" t="str">
        <f>'výsl. čt. žáci'!Z16</f>
        <v>3:0 (8,9,9)</v>
      </c>
      <c r="I20" s="83"/>
    </row>
    <row r="21" spans="3:9" ht="12.75">
      <c r="C21" s="2">
        <f>IF($B21="","",CONCATENATE(VLOOKUP($B21,seznam!$A$2:$B$269,2)," (",VLOOKUP($B21,seznam!$A$2:$E$269,4),")"))</f>
      </c>
      <c r="D21" s="13"/>
      <c r="E21" s="5" t="str">
        <f>'výsl. čt. žáci'!X6</f>
        <v>Havránek Ondřej</v>
      </c>
      <c r="G21" s="8"/>
      <c r="H21" s="83"/>
      <c r="I21" s="83"/>
    </row>
    <row r="22" spans="1:9" ht="12.75">
      <c r="A22" s="2">
        <v>10</v>
      </c>
      <c r="B22" s="5"/>
      <c r="C22" s="5" t="str">
        <f>IF($B22="","bye",CONCATENATE(VLOOKUP($B22,seznam!$A$2:$B$269,2)," (",VLOOKUP($B22,seznam!$A$2:$E$269,4),")"))</f>
        <v>bye</v>
      </c>
      <c r="D22" s="14"/>
      <c r="E22" s="6"/>
      <c r="F22" s="2" t="str">
        <f>'výsl. čt. žáci'!V12</f>
        <v>Buriánek Martin</v>
      </c>
      <c r="G22" s="8"/>
      <c r="H22" s="83"/>
      <c r="I22" s="83"/>
    </row>
    <row r="23" spans="3:9" ht="12.75">
      <c r="C23" s="2">
        <f>IF($B23="","",CONCATENATE(VLOOKUP($B23,seznam!$A$2:$B$269,2)," (",VLOOKUP($B23,seznam!$A$2:$E$269,4),")"))</f>
      </c>
      <c r="D23" s="15"/>
      <c r="E23" s="8"/>
      <c r="F23" s="9" t="str">
        <f>'výsl. čt. žáci'!X12</f>
        <v>Huták Ondřej</v>
      </c>
      <c r="G23" s="8"/>
      <c r="H23" s="83"/>
      <c r="I23" s="83"/>
    </row>
    <row r="24" spans="1:9" ht="12.75">
      <c r="A24" s="2">
        <v>11</v>
      </c>
      <c r="B24" s="5"/>
      <c r="C24" s="5" t="str">
        <f>IF($B24="","bye",CONCATENATE(VLOOKUP($B24,seznam!$A$2:$B$269,2)," (",VLOOKUP($B24,seznam!$A$2:$E$269,4),")"))</f>
        <v>bye</v>
      </c>
      <c r="D24" s="12"/>
      <c r="E24" s="8" t="str">
        <f>'výsl. čt. žáci'!V7</f>
        <v>Buriánek Martin</v>
      </c>
      <c r="F24" s="6" t="str">
        <f>'výsl. čt. žáci'!Z12</f>
        <v>3:0 (13,10,10)</v>
      </c>
      <c r="G24" s="8"/>
      <c r="H24" s="83"/>
      <c r="I24" s="83"/>
    </row>
    <row r="25" spans="2:9" ht="12.75">
      <c r="B25" s="2">
        <v>12</v>
      </c>
      <c r="C25" s="2" t="str">
        <f>IF($B25="","",CONCATENATE(VLOOKUP($B25,seznam!$A$2:$B$269,2)," (",VLOOKUP($B25,seznam!$A$2:$E$269,4),")"))</f>
        <v>Buriánek Martin (MSK Břeclav)</v>
      </c>
      <c r="D25" s="13"/>
      <c r="E25" s="7" t="str">
        <f>'výsl. čt. žáci'!X7</f>
        <v>Huták Ondřej</v>
      </c>
      <c r="F25" s="8"/>
      <c r="G25" s="8"/>
      <c r="H25" s="83"/>
      <c r="I25" s="83"/>
    </row>
    <row r="26" spans="1:9" ht="12.75">
      <c r="A26" s="2">
        <v>12</v>
      </c>
      <c r="B26" s="5">
        <v>13</v>
      </c>
      <c r="C26" s="5" t="str">
        <f>IF($B26="","bye",CONCATENATE(VLOOKUP($B26,seznam!$A$2:$B$269,2)," (",VLOOKUP($B26,seznam!$A$2:$E$269,4),")"))</f>
        <v>Huták Ondřej (Klobouky u Brna)</v>
      </c>
      <c r="D26" s="14"/>
      <c r="F26" s="8"/>
      <c r="G26" s="8" t="str">
        <f>'výsl. čt. žáci'!V15</f>
        <v>Luska Petr</v>
      </c>
      <c r="H26" s="83"/>
      <c r="I26" s="83"/>
    </row>
    <row r="27" spans="3:9" ht="12.75">
      <c r="C27" s="2">
        <f>IF($B27="","",CONCATENATE(VLOOKUP($B27,seznam!$A$2:$B$269,2)," (",VLOOKUP($B27,seznam!$A$2:$E$269,4),")"))</f>
      </c>
      <c r="D27" s="15"/>
      <c r="F27" s="8"/>
      <c r="G27" s="10" t="str">
        <f>'výsl. čt. žáci'!X15</f>
        <v>Vincenec Oliver</v>
      </c>
      <c r="H27" s="83"/>
      <c r="I27" s="83"/>
    </row>
    <row r="28" spans="1:9" ht="12.75">
      <c r="A28" s="2">
        <v>13</v>
      </c>
      <c r="B28" s="5"/>
      <c r="C28" s="5" t="str">
        <f>IF($B28="","bye",CONCATENATE(VLOOKUP($B28,seznam!$A$2:$B$269,2)," (",VLOOKUP($B28,seznam!$A$2:$E$269,4),")"))</f>
        <v>bye</v>
      </c>
      <c r="D28" s="12"/>
      <c r="E28" s="2">
        <f>'výsl. čt. žáci'!V8</f>
      </c>
      <c r="F28" s="8"/>
      <c r="G28" s="2" t="str">
        <f>'výsl. čt. žáci'!Z15</f>
        <v>3:2 (-7,-8,8,5,9)</v>
      </c>
      <c r="H28" s="83"/>
      <c r="I28" s="83"/>
    </row>
    <row r="29" spans="4:9" ht="12.75">
      <c r="D29" s="13"/>
      <c r="E29" s="5" t="s">
        <v>119</v>
      </c>
      <c r="F29" s="8"/>
      <c r="H29" s="83"/>
      <c r="I29" s="83"/>
    </row>
    <row r="30" spans="1:9" ht="12.75">
      <c r="A30" s="2">
        <v>14</v>
      </c>
      <c r="B30" s="5"/>
      <c r="C30" s="5" t="str">
        <f>IF($B30="","bye",CONCATENATE(VLOOKUP($B30,seznam!$A$2:$B$269,2)," (",VLOOKUP($B30,seznam!$A$2:$E$269,4),")"))</f>
        <v>bye</v>
      </c>
      <c r="D30" s="14"/>
      <c r="E30" s="6"/>
      <c r="F30" s="8" t="str">
        <f>'výsl. čt. žáci'!V13</f>
        <v>Luska Petr</v>
      </c>
      <c r="H30" s="83"/>
      <c r="I30" s="83"/>
    </row>
    <row r="31" spans="3:9" ht="12.75">
      <c r="C31" s="2">
        <f>IF($B31="","",CONCATENATE(VLOOKUP($B31,seznam!$A$2:$B$269,2)," (",VLOOKUP($B31,seznam!$A$2:$E$269,4),")"))</f>
      </c>
      <c r="D31" s="15"/>
      <c r="E31" s="8"/>
      <c r="F31" s="10" t="str">
        <f>'výsl. čt. žáci'!X13</f>
        <v>Vincenec Oliver</v>
      </c>
      <c r="H31" s="83"/>
      <c r="I31" s="83"/>
    </row>
    <row r="32" spans="1:9" ht="12.75">
      <c r="A32" s="2">
        <v>15</v>
      </c>
      <c r="B32" s="5"/>
      <c r="C32" s="5" t="str">
        <f>IF($B32="","bye",CONCATENATE(VLOOKUP($B32,seznam!$A$2:$B$269,2)," (",VLOOKUP($B32,seznam!$A$2:$E$269,4),")"))</f>
        <v>bye</v>
      </c>
      <c r="D32" s="12"/>
      <c r="E32" s="8" t="str">
        <f>'výsl. čt. žáci'!V9</f>
        <v>Luska Petr</v>
      </c>
      <c r="H32" s="83"/>
      <c r="I32" s="83"/>
    </row>
    <row r="33" spans="2:9" ht="12.75">
      <c r="B33" s="2">
        <v>2</v>
      </c>
      <c r="C33" s="2" t="str">
        <f>IF($B33="","",CONCATENATE(VLOOKUP($B33,seznam!$A$2:$B$269,2)," (",VLOOKUP($B33,seznam!$A$2:$E$269,4),")"))</f>
        <v>Luska Petr (KST Vyškov)</v>
      </c>
      <c r="D33" s="13"/>
      <c r="E33" s="7" t="str">
        <f>'výsl. čt. žáci'!X9</f>
        <v>Vincenec Oliver</v>
      </c>
      <c r="H33" s="83"/>
      <c r="I33" s="83"/>
    </row>
    <row r="34" spans="1:9" ht="12.75">
      <c r="A34" s="2">
        <v>16</v>
      </c>
      <c r="B34" s="5">
        <v>4</v>
      </c>
      <c r="C34" s="5" t="str">
        <f>IF($B34="","bye",CONCATENATE(VLOOKUP($B34,seznam!$A$2:$B$269,2)," (",VLOOKUP($B34,seznam!$A$2:$E$269,4),")"))</f>
        <v>Vincenec Oliver (KST Vyškov)</v>
      </c>
      <c r="D34" s="14"/>
      <c r="H34" s="86"/>
      <c r="I34" s="83"/>
    </row>
    <row r="35" spans="1:9" ht="12.75">
      <c r="A35" s="83"/>
      <c r="B35" s="83"/>
      <c r="C35" s="83"/>
      <c r="D35" s="89"/>
      <c r="E35" s="83"/>
      <c r="F35" s="83"/>
      <c r="G35" s="83"/>
      <c r="H35" s="86"/>
      <c r="I35" s="83"/>
    </row>
    <row r="36" spans="1:9" ht="12.75">
      <c r="A36" s="83"/>
      <c r="B36" s="83"/>
      <c r="C36" s="83"/>
      <c r="D36" s="89"/>
      <c r="E36" s="83"/>
      <c r="F36" s="83"/>
      <c r="G36" s="83"/>
      <c r="H36" s="83"/>
      <c r="I36" s="83"/>
    </row>
    <row r="37" spans="1:9" ht="12.75">
      <c r="A37" s="83"/>
      <c r="B37" s="83"/>
      <c r="C37" s="83"/>
      <c r="D37" s="89"/>
      <c r="E37" s="83"/>
      <c r="F37" s="83"/>
      <c r="G37" s="83"/>
      <c r="H37" s="83"/>
      <c r="I37" s="83"/>
    </row>
    <row r="38" spans="1:9" ht="12.75">
      <c r="A38" s="83"/>
      <c r="B38" s="83"/>
      <c r="C38" s="83"/>
      <c r="D38" s="89"/>
      <c r="E38" s="83"/>
      <c r="F38" s="83"/>
      <c r="G38" s="83"/>
      <c r="H38" s="83"/>
      <c r="I38" s="83"/>
    </row>
    <row r="39" spans="1:9" ht="12.75">
      <c r="A39" s="83"/>
      <c r="B39" s="83"/>
      <c r="C39" s="83"/>
      <c r="D39" s="89"/>
      <c r="E39" s="83"/>
      <c r="F39" s="83"/>
      <c r="G39" s="83"/>
      <c r="H39" s="83"/>
      <c r="I39" s="83"/>
    </row>
    <row r="40" spans="1:9" ht="12.75">
      <c r="A40" s="83"/>
      <c r="B40" s="83"/>
      <c r="C40" s="83"/>
      <c r="D40" s="89"/>
      <c r="E40" s="83"/>
      <c r="F40" s="83"/>
      <c r="G40" s="83"/>
      <c r="H40" s="83"/>
      <c r="I40" s="83"/>
    </row>
    <row r="41" spans="1:9" ht="12.75">
      <c r="A41" s="83"/>
      <c r="B41" s="83"/>
      <c r="C41" s="83"/>
      <c r="D41" s="89"/>
      <c r="E41" s="83"/>
      <c r="F41" s="83"/>
      <c r="G41" s="83"/>
      <c r="H41" s="83"/>
      <c r="I41" s="83"/>
    </row>
    <row r="42" spans="1:9" ht="12.75">
      <c r="A42" s="83"/>
      <c r="B42" s="83"/>
      <c r="C42" s="83"/>
      <c r="D42" s="89"/>
      <c r="E42" s="83"/>
      <c r="F42" s="83"/>
      <c r="G42" s="83"/>
      <c r="H42" s="83"/>
      <c r="I42" s="83"/>
    </row>
    <row r="43" spans="1:8" ht="12.75">
      <c r="A43" s="83"/>
      <c r="B43" s="83"/>
      <c r="C43" s="83"/>
      <c r="D43" s="89"/>
      <c r="E43" s="83"/>
      <c r="F43" s="83"/>
      <c r="G43" s="83"/>
      <c r="H43" s="83"/>
    </row>
    <row r="44" spans="1:8" ht="12.75">
      <c r="A44" s="83"/>
      <c r="B44" s="83"/>
      <c r="C44" s="83"/>
      <c r="D44" s="89"/>
      <c r="E44" s="83"/>
      <c r="F44" s="83"/>
      <c r="G44" s="83"/>
      <c r="H44" s="83"/>
    </row>
    <row r="45" spans="1:8" ht="12.75">
      <c r="A45" s="83"/>
      <c r="B45" s="83"/>
      <c r="C45" s="83"/>
      <c r="D45" s="89"/>
      <c r="E45" s="83"/>
      <c r="F45" s="83"/>
      <c r="G45" s="83"/>
      <c r="H45" s="83"/>
    </row>
    <row r="46" spans="1:8" ht="12.75">
      <c r="A46" s="83"/>
      <c r="B46" s="83"/>
      <c r="C46" s="83"/>
      <c r="D46" s="89"/>
      <c r="E46" s="83"/>
      <c r="F46" s="83"/>
      <c r="G46" s="83"/>
      <c r="H46" s="83"/>
    </row>
    <row r="47" spans="1:8" ht="12.75">
      <c r="A47" s="83"/>
      <c r="B47" s="83"/>
      <c r="C47" s="83"/>
      <c r="D47" s="89"/>
      <c r="E47" s="83"/>
      <c r="F47" s="83"/>
      <c r="G47" s="83"/>
      <c r="H47" s="83"/>
    </row>
    <row r="48" spans="1:8" ht="12.75">
      <c r="A48" s="83"/>
      <c r="B48" s="83"/>
      <c r="C48" s="83"/>
      <c r="D48" s="89"/>
      <c r="E48" s="83"/>
      <c r="F48" s="83"/>
      <c r="G48" s="83"/>
      <c r="H48" s="83"/>
    </row>
    <row r="49" spans="1:8" ht="12.75">
      <c r="A49" s="83"/>
      <c r="B49" s="83"/>
      <c r="C49" s="83"/>
      <c r="D49" s="89"/>
      <c r="E49" s="83"/>
      <c r="F49" s="83"/>
      <c r="G49" s="83"/>
      <c r="H49" s="83"/>
    </row>
    <row r="50" spans="1:8" ht="12.75">
      <c r="A50" s="83"/>
      <c r="B50" s="83"/>
      <c r="C50" s="83"/>
      <c r="D50" s="89"/>
      <c r="E50" s="83"/>
      <c r="F50" s="83"/>
      <c r="G50" s="83"/>
      <c r="H50" s="86"/>
    </row>
    <row r="51" spans="1:8" ht="12.75">
      <c r="A51" s="83"/>
      <c r="B51" s="83"/>
      <c r="C51" s="83"/>
      <c r="D51" s="89"/>
      <c r="E51" s="83"/>
      <c r="F51" s="83"/>
      <c r="G51" s="83"/>
      <c r="H51" s="86"/>
    </row>
    <row r="52" spans="1:8" ht="12.75">
      <c r="A52" s="83"/>
      <c r="B52" s="83"/>
      <c r="C52" s="83"/>
      <c r="D52" s="89"/>
      <c r="E52" s="83"/>
      <c r="F52" s="83"/>
      <c r="G52" s="83"/>
      <c r="H52" s="83"/>
    </row>
    <row r="53" spans="1:8" ht="12.75">
      <c r="A53" s="83"/>
      <c r="B53" s="83"/>
      <c r="C53" s="83"/>
      <c r="D53" s="89"/>
      <c r="E53" s="83"/>
      <c r="F53" s="83"/>
      <c r="G53" s="83"/>
      <c r="H53" s="83"/>
    </row>
    <row r="54" spans="1:8" ht="12.75">
      <c r="A54" s="83"/>
      <c r="B54" s="83"/>
      <c r="C54" s="83"/>
      <c r="D54" s="89"/>
      <c r="E54" s="83"/>
      <c r="F54" s="83"/>
      <c r="G54" s="83"/>
      <c r="H54" s="83"/>
    </row>
    <row r="55" spans="1:8" ht="12.75">
      <c r="A55" s="83"/>
      <c r="B55" s="83"/>
      <c r="C55" s="83"/>
      <c r="D55" s="89"/>
      <c r="E55" s="83"/>
      <c r="F55" s="83"/>
      <c r="G55" s="83"/>
      <c r="H55" s="83"/>
    </row>
    <row r="56" spans="1:8" ht="12.75">
      <c r="A56" s="83"/>
      <c r="B56" s="83"/>
      <c r="C56" s="83"/>
      <c r="D56" s="89"/>
      <c r="E56" s="83"/>
      <c r="F56" s="83"/>
      <c r="G56" s="83"/>
      <c r="H56" s="83"/>
    </row>
    <row r="57" spans="1:8" ht="12.75">
      <c r="A57" s="83"/>
      <c r="B57" s="83"/>
      <c r="C57" s="83"/>
      <c r="D57" s="89"/>
      <c r="E57" s="83"/>
      <c r="F57" s="83"/>
      <c r="G57" s="83"/>
      <c r="H57" s="83"/>
    </row>
    <row r="58" spans="1:8" ht="12.75">
      <c r="A58" s="83"/>
      <c r="B58" s="83"/>
      <c r="C58" s="83"/>
      <c r="D58" s="89"/>
      <c r="E58" s="83"/>
      <c r="F58" s="83"/>
      <c r="G58" s="83"/>
      <c r="H58" s="83"/>
    </row>
    <row r="59" spans="1:8" ht="12.75">
      <c r="A59" s="83"/>
      <c r="B59" s="83"/>
      <c r="C59" s="83"/>
      <c r="D59" s="89"/>
      <c r="E59" s="83"/>
      <c r="F59" s="83"/>
      <c r="G59" s="83"/>
      <c r="H59" s="83"/>
    </row>
    <row r="60" spans="1:8" ht="12.75">
      <c r="A60" s="83"/>
      <c r="B60" s="83"/>
      <c r="C60" s="83"/>
      <c r="D60" s="89"/>
      <c r="E60" s="83"/>
      <c r="F60" s="83"/>
      <c r="G60" s="83"/>
      <c r="H60" s="83"/>
    </row>
    <row r="61" spans="1:8" ht="12.75">
      <c r="A61" s="83"/>
      <c r="B61" s="83"/>
      <c r="C61" s="83"/>
      <c r="D61" s="89"/>
      <c r="E61" s="83"/>
      <c r="F61" s="83"/>
      <c r="G61" s="83"/>
      <c r="H61" s="83"/>
    </row>
    <row r="62" spans="1:8" ht="12.75">
      <c r="A62" s="83"/>
      <c r="B62" s="83"/>
      <c r="C62" s="83"/>
      <c r="D62" s="89"/>
      <c r="E62" s="83"/>
      <c r="F62" s="83"/>
      <c r="G62" s="83"/>
      <c r="H62" s="83"/>
    </row>
    <row r="63" spans="1:8" ht="12.75">
      <c r="A63" s="83"/>
      <c r="B63" s="83"/>
      <c r="C63" s="83"/>
      <c r="D63" s="89"/>
      <c r="E63" s="83"/>
      <c r="F63" s="83"/>
      <c r="G63" s="83"/>
      <c r="H63" s="83"/>
    </row>
    <row r="64" spans="1:8" ht="12.75">
      <c r="A64" s="83"/>
      <c r="B64" s="83"/>
      <c r="C64" s="83"/>
      <c r="D64" s="89"/>
      <c r="E64" s="83"/>
      <c r="F64" s="83"/>
      <c r="G64" s="83"/>
      <c r="H64" s="83"/>
    </row>
    <row r="65" spans="1:8" ht="12.75">
      <c r="A65" s="83"/>
      <c r="B65" s="83"/>
      <c r="C65" s="83"/>
      <c r="D65" s="89"/>
      <c r="E65" s="83"/>
      <c r="F65" s="83"/>
      <c r="G65" s="83"/>
      <c r="H65" s="83"/>
    </row>
    <row r="66" spans="1:8" ht="12.75">
      <c r="A66" s="83"/>
      <c r="B66" s="83"/>
      <c r="C66" s="83"/>
      <c r="D66" s="89"/>
      <c r="E66" s="83"/>
      <c r="F66" s="83"/>
      <c r="G66" s="83"/>
      <c r="H66" s="83"/>
    </row>
    <row r="67" ht="12.75">
      <c r="D67" s="89"/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fitToHeight="0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asociace stolního tenisu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Novák</dc:creator>
  <cp:keywords/>
  <dc:description/>
  <cp:lastModifiedBy>Dell</cp:lastModifiedBy>
  <cp:lastPrinted>2022-02-05T10:54:55Z</cp:lastPrinted>
  <dcterms:created xsi:type="dcterms:W3CDTF">2002-02-19T15:28:55Z</dcterms:created>
  <dcterms:modified xsi:type="dcterms:W3CDTF">2022-02-05T17:50:45Z</dcterms:modified>
  <cp:category/>
  <cp:version/>
  <cp:contentType/>
  <cp:contentStatus/>
</cp:coreProperties>
</file>