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docMetadata/LabelInfo.xml" ContentType="application/vnd.ms-office.classificationlabel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0" yWindow="400" windowWidth="10900" windowHeight="10450" tabRatio="725" activeTab="1"/>
  </bookViews>
  <sheets>
    <sheet name="seznam" sheetId="1" r:id="rId1"/>
    <sheet name="Vysledky" sheetId="24" r:id="rId2"/>
    <sheet name="sk A,B - Muži" sheetId="2" r:id="rId3"/>
    <sheet name="sk C,D - Ženy" sheetId="16" r:id="rId4"/>
    <sheet name="sk 1-6, 7-12 - Muži" sheetId="17" r:id="rId5"/>
    <sheet name="sk 1-6, 7-12 - Ženy" sheetId="32" r:id="rId6"/>
    <sheet name="zápis tisk I Muži" sheetId="25" r:id="rId7"/>
    <sheet name="zápis tisk I Ženy" sheetId="30" r:id="rId8"/>
    <sheet name="zápis tisk II Muži" sheetId="29" r:id="rId9"/>
    <sheet name="zápis tisk II Ženy" sheetId="33" r:id="rId10"/>
    <sheet name="Skupiny po 4" sheetId="15" r:id="rId11"/>
    <sheet name="sk C,D,E - žáci" sheetId="12" r:id="rId12"/>
    <sheet name="zápis" sheetId="13" r:id="rId13"/>
  </sheets>
  <definedNames>
    <definedName name="_xlnm._FilterDatabase" localSheetId="1" hidden="1">Vysledky!$A$1:$D$1</definedName>
    <definedName name="_xlnm.Print_Area" localSheetId="4">'sk 1-6, 7-12 - Muži'!$A$1:$AN$37</definedName>
    <definedName name="_xlnm.Print_Area" localSheetId="5">'sk 1-6, 7-12 - Ženy'!$A$1:$AN$37</definedName>
    <definedName name="_xlnm.Print_Area" localSheetId="2">'sk A,B - Muži'!$A$1:$AN$37</definedName>
    <definedName name="_xlnm.Print_Area" localSheetId="3">'sk C,D - Ženy'!$A$1:$AN$37</definedName>
    <definedName name="_xlnm.Print_Area" localSheetId="11">'sk C,D,E - žáci'!$B$1:$AH$34</definedName>
    <definedName name="_xlnm.Print_Area" localSheetId="1">Vysledky!$A$1:$D$39</definedName>
    <definedName name="_xlnm.Print_Area" localSheetId="6">'zápis tisk I Muži'!$A$1:$M$105</definedName>
    <definedName name="_xlnm.Print_Area" localSheetId="7">'zápis tisk I Ženy'!$A$1:$M$105</definedName>
    <definedName name="_xlnm.Print_Area" localSheetId="8">'zápis tisk II Muži'!$A$1:$M$105</definedName>
    <definedName name="_xlnm.Print_Area" localSheetId="9">'zápis tisk II Ženy'!$A$1:$M$105</definedName>
  </definedNames>
  <calcPr calcId="125725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4"/>
  <c r="D2"/>
  <c r="BA29" i="16" l="1"/>
  <c r="BA27"/>
  <c r="BA25"/>
  <c r="BA23"/>
  <c r="BA21"/>
  <c r="BA19"/>
  <c r="BA14"/>
  <c r="BA12"/>
  <c r="BA10"/>
  <c r="BA8"/>
  <c r="BA6"/>
  <c r="BA4"/>
  <c r="BA29" i="2" l="1"/>
  <c r="BA27"/>
  <c r="BA25"/>
  <c r="BA23"/>
  <c r="BA21"/>
  <c r="BA19"/>
  <c r="BA14"/>
  <c r="BA12"/>
  <c r="BA10"/>
  <c r="BA8"/>
  <c r="BA6"/>
  <c r="BA4"/>
  <c r="AQ36" i="16"/>
  <c r="AP36"/>
  <c r="AQ35"/>
  <c r="AP35"/>
  <c r="AQ34"/>
  <c r="AP34"/>
  <c r="AQ33"/>
  <c r="AP33"/>
  <c r="AQ32"/>
  <c r="AP32"/>
  <c r="AQ31"/>
  <c r="AP31"/>
  <c r="AQ29"/>
  <c r="AP29"/>
  <c r="AQ28"/>
  <c r="AP28"/>
  <c r="AQ27"/>
  <c r="AP27"/>
  <c r="AQ26"/>
  <c r="AP26"/>
  <c r="AQ25"/>
  <c r="AP25"/>
  <c r="AQ24"/>
  <c r="AP24"/>
  <c r="AQ22"/>
  <c r="AP22"/>
  <c r="AQ21"/>
  <c r="AP21"/>
  <c r="AQ20"/>
  <c r="AP20"/>
  <c r="AQ19"/>
  <c r="AP19"/>
  <c r="AQ18"/>
  <c r="AP18"/>
  <c r="AQ17"/>
  <c r="AP17"/>
  <c r="AQ15"/>
  <c r="AP15"/>
  <c r="AQ14"/>
  <c r="AP14"/>
  <c r="AQ13"/>
  <c r="AP13"/>
  <c r="AQ12"/>
  <c r="AP12"/>
  <c r="AQ11"/>
  <c r="AP11"/>
  <c r="AQ10"/>
  <c r="AP10"/>
  <c r="AQ8"/>
  <c r="AP8"/>
  <c r="AQ7"/>
  <c r="AP7"/>
  <c r="AQ6"/>
  <c r="AP6"/>
  <c r="AQ5"/>
  <c r="AP5"/>
  <c r="AQ4"/>
  <c r="AP4"/>
  <c r="AQ3"/>
  <c r="AP3"/>
  <c r="AP35" i="2"/>
  <c r="AQ28"/>
  <c r="AP22"/>
  <c r="AQ13"/>
  <c r="AQ8"/>
  <c r="AP34"/>
  <c r="AQ29"/>
  <c r="AP21"/>
  <c r="AQ14"/>
  <c r="AP8"/>
  <c r="AP36"/>
  <c r="AQ27"/>
  <c r="AQ22"/>
  <c r="AP14"/>
  <c r="AQ7"/>
  <c r="AQ35"/>
  <c r="AP29"/>
  <c r="AP20"/>
  <c r="AQ15"/>
  <c r="AP7"/>
  <c r="AQ34"/>
  <c r="AP27"/>
  <c r="AQ20"/>
  <c r="AP13"/>
  <c r="AQ6"/>
  <c r="AQ36"/>
  <c r="AP28"/>
  <c r="AQ21"/>
  <c r="AP15"/>
  <c r="AP6"/>
  <c r="AP32"/>
  <c r="AQ25"/>
  <c r="AP19"/>
  <c r="AQ10"/>
  <c r="AQ5"/>
  <c r="AP31"/>
  <c r="AQ26"/>
  <c r="AP18"/>
  <c r="AQ11"/>
  <c r="AP5"/>
  <c r="AP33"/>
  <c r="AQ24"/>
  <c r="AQ19"/>
  <c r="AP11"/>
  <c r="AQ4"/>
  <c r="AQ32"/>
  <c r="AP26"/>
  <c r="AP17"/>
  <c r="AQ12"/>
  <c r="AP4"/>
  <c r="AQ33"/>
  <c r="AP25"/>
  <c r="AQ18"/>
  <c r="AP12"/>
  <c r="AP3"/>
  <c r="AQ31"/>
  <c r="AP24"/>
  <c r="AQ17"/>
  <c r="AP10"/>
  <c r="AQ3"/>
  <c r="AV36" i="16" l="1"/>
  <c r="AU36"/>
  <c r="AV35"/>
  <c r="AU35"/>
  <c r="AV34"/>
  <c r="AU34"/>
  <c r="AV31"/>
  <c r="AU31"/>
  <c r="AV29"/>
  <c r="AU29"/>
  <c r="AV28"/>
  <c r="AU28"/>
  <c r="AV27"/>
  <c r="AU27"/>
  <c r="AV24"/>
  <c r="AU24"/>
  <c r="AV22"/>
  <c r="AU22"/>
  <c r="AV21"/>
  <c r="AU21"/>
  <c r="AV20"/>
  <c r="AU20"/>
  <c r="AV19"/>
  <c r="AU19"/>
  <c r="AV15"/>
  <c r="AU15"/>
  <c r="AV14"/>
  <c r="AU14"/>
  <c r="AV13"/>
  <c r="AU13"/>
  <c r="AV11"/>
  <c r="AU11"/>
  <c r="AV10"/>
  <c r="AU10"/>
  <c r="AV8"/>
  <c r="AU8"/>
  <c r="AV7"/>
  <c r="AU7"/>
  <c r="AV6"/>
  <c r="AU6"/>
  <c r="AV5"/>
  <c r="AU5"/>
  <c r="C23" i="29"/>
  <c r="C2" i="25" l="1"/>
  <c r="BA29" i="17"/>
  <c r="BA27" i="32" l="1"/>
  <c r="BA25"/>
  <c r="BA23"/>
  <c r="BA21"/>
  <c r="BA19"/>
  <c r="BA14"/>
  <c r="BA12"/>
  <c r="BA10"/>
  <c r="BA8"/>
  <c r="BA6"/>
  <c r="BA4"/>
  <c r="A2" i="33"/>
  <c r="H100"/>
  <c r="A100"/>
  <c r="H93"/>
  <c r="A93"/>
  <c r="H86"/>
  <c r="A86"/>
  <c r="H79"/>
  <c r="A79"/>
  <c r="H72"/>
  <c r="A72"/>
  <c r="H65"/>
  <c r="A65"/>
  <c r="H58"/>
  <c r="A58"/>
  <c r="H51"/>
  <c r="A51"/>
  <c r="H44"/>
  <c r="A44"/>
  <c r="H37"/>
  <c r="A37"/>
  <c r="H30"/>
  <c r="A30"/>
  <c r="H23"/>
  <c r="A23"/>
  <c r="H16"/>
  <c r="A16"/>
  <c r="H9"/>
  <c r="A9"/>
  <c r="H2"/>
  <c r="K100"/>
  <c r="D100"/>
  <c r="H99"/>
  <c r="A99"/>
  <c r="K93"/>
  <c r="D93"/>
  <c r="H92"/>
  <c r="A92"/>
  <c r="K86"/>
  <c r="D86"/>
  <c r="H85"/>
  <c r="A85"/>
  <c r="K79"/>
  <c r="D79"/>
  <c r="H78"/>
  <c r="A78"/>
  <c r="K72"/>
  <c r="D72"/>
  <c r="H71"/>
  <c r="A71"/>
  <c r="K65"/>
  <c r="D65"/>
  <c r="H64"/>
  <c r="A64"/>
  <c r="K58"/>
  <c r="D58"/>
  <c r="H57"/>
  <c r="A57"/>
  <c r="K51"/>
  <c r="D51"/>
  <c r="H50"/>
  <c r="A50"/>
  <c r="K44"/>
  <c r="D44"/>
  <c r="H43"/>
  <c r="A43"/>
  <c r="K37"/>
  <c r="D37"/>
  <c r="H36"/>
  <c r="A36"/>
  <c r="K30"/>
  <c r="D30"/>
  <c r="H29"/>
  <c r="A29"/>
  <c r="K23"/>
  <c r="D23"/>
  <c r="H22"/>
  <c r="A22"/>
  <c r="K16"/>
  <c r="D16"/>
  <c r="H15"/>
  <c r="A15"/>
  <c r="K9"/>
  <c r="D9"/>
  <c r="H8"/>
  <c r="A8"/>
  <c r="K2"/>
  <c r="D2"/>
  <c r="H1"/>
  <c r="A1"/>
  <c r="M100"/>
  <c r="J100"/>
  <c r="I100"/>
  <c r="F100"/>
  <c r="C100"/>
  <c r="B100"/>
  <c r="M93"/>
  <c r="J93"/>
  <c r="I93"/>
  <c r="F93"/>
  <c r="C93"/>
  <c r="B93"/>
  <c r="M86"/>
  <c r="J86"/>
  <c r="I86"/>
  <c r="F86"/>
  <c r="C86"/>
  <c r="B86"/>
  <c r="M79"/>
  <c r="J79"/>
  <c r="I79"/>
  <c r="F79"/>
  <c r="C79"/>
  <c r="B79"/>
  <c r="M72"/>
  <c r="J72"/>
  <c r="I72"/>
  <c r="F72"/>
  <c r="C72"/>
  <c r="B72"/>
  <c r="M65"/>
  <c r="J65"/>
  <c r="I65"/>
  <c r="F65"/>
  <c r="C65"/>
  <c r="B65"/>
  <c r="M58"/>
  <c r="J58"/>
  <c r="I58"/>
  <c r="F58"/>
  <c r="C58"/>
  <c r="B58"/>
  <c r="M51"/>
  <c r="J51"/>
  <c r="I51"/>
  <c r="F51"/>
  <c r="C51"/>
  <c r="B51"/>
  <c r="M44"/>
  <c r="J44"/>
  <c r="I44"/>
  <c r="F44"/>
  <c r="C44"/>
  <c r="B44"/>
  <c r="M37"/>
  <c r="J37"/>
  <c r="I37"/>
  <c r="F37"/>
  <c r="C37"/>
  <c r="B37"/>
  <c r="M30"/>
  <c r="J30"/>
  <c r="I30"/>
  <c r="F30"/>
  <c r="C30"/>
  <c r="B30"/>
  <c r="M23"/>
  <c r="J23"/>
  <c r="I23"/>
  <c r="F23"/>
  <c r="C23"/>
  <c r="B23"/>
  <c r="M16"/>
  <c r="J16"/>
  <c r="I16"/>
  <c r="F16"/>
  <c r="C16"/>
  <c r="B16"/>
  <c r="M9"/>
  <c r="J9"/>
  <c r="I9"/>
  <c r="F9"/>
  <c r="C9"/>
  <c r="B9"/>
  <c r="M2"/>
  <c r="J2"/>
  <c r="I2"/>
  <c r="F2"/>
  <c r="C2"/>
  <c r="B2"/>
  <c r="D30" i="2"/>
  <c r="D29"/>
  <c r="D28"/>
  <c r="D27"/>
  <c r="D26"/>
  <c r="D25"/>
  <c r="D24"/>
  <c r="D23"/>
  <c r="D22"/>
  <c r="D21"/>
  <c r="D20"/>
  <c r="D19"/>
  <c r="D15"/>
  <c r="D14"/>
  <c r="D13"/>
  <c r="D12"/>
  <c r="D11"/>
  <c r="D10"/>
  <c r="D9"/>
  <c r="D8"/>
  <c r="D7"/>
  <c r="D6"/>
  <c r="D5"/>
  <c r="D4"/>
  <c r="D30" i="17"/>
  <c r="D29"/>
  <c r="BA27"/>
  <c r="BA25"/>
  <c r="BA23"/>
  <c r="BA21"/>
  <c r="BA19"/>
  <c r="BA14"/>
  <c r="BA12"/>
  <c r="BA10"/>
  <c r="BA8"/>
  <c r="BA6"/>
  <c r="BA4"/>
  <c r="BA29" i="32" l="1"/>
  <c r="D25" i="24"/>
  <c r="C25"/>
  <c r="AS15" i="32"/>
  <c r="H41" i="33" s="1"/>
  <c r="D14" i="17"/>
  <c r="D24"/>
  <c r="D26"/>
  <c r="D28"/>
  <c r="D20"/>
  <c r="D22"/>
  <c r="D13"/>
  <c r="D7"/>
  <c r="D9"/>
  <c r="AS3"/>
  <c r="D11"/>
  <c r="D5" i="32"/>
  <c r="AC25" s="1"/>
  <c r="C14" i="24"/>
  <c r="D14"/>
  <c r="D7" i="32"/>
  <c r="C15" i="24"/>
  <c r="D15"/>
  <c r="D8" i="32"/>
  <c r="C16" i="24"/>
  <c r="D16"/>
  <c r="D11" i="32"/>
  <c r="AE25" s="1"/>
  <c r="C17" i="24"/>
  <c r="D17"/>
  <c r="D13" i="32"/>
  <c r="C18" i="24"/>
  <c r="D18"/>
  <c r="AP10" i="32"/>
  <c r="C19" i="24"/>
  <c r="D19"/>
  <c r="D20" i="32"/>
  <c r="C20" i="24"/>
  <c r="D20"/>
  <c r="AQ15" i="32"/>
  <c r="K38" i="33" s="1"/>
  <c r="C21" i="24"/>
  <c r="D21"/>
  <c r="D24" i="32"/>
  <c r="D22" i="24"/>
  <c r="C22"/>
  <c r="D25" i="32"/>
  <c r="D23" i="24"/>
  <c r="C23"/>
  <c r="AQ7" i="32"/>
  <c r="K10" i="33" s="1"/>
  <c r="D24" i="24"/>
  <c r="C24"/>
  <c r="D5" i="17"/>
  <c r="D8"/>
  <c r="AS3" i="32"/>
  <c r="A6" i="33" s="1"/>
  <c r="AS22" i="32"/>
  <c r="H62" i="33" s="1"/>
  <c r="AS36" i="32"/>
  <c r="H104" i="33" s="1"/>
  <c r="D9" i="32"/>
  <c r="AE26" s="1"/>
  <c r="D23"/>
  <c r="D19"/>
  <c r="AS6"/>
  <c r="H6" i="33" s="1"/>
  <c r="D21" i="32"/>
  <c r="AP8"/>
  <c r="D22"/>
  <c r="AQ14"/>
  <c r="K31" i="33" s="1"/>
  <c r="AP21" i="32"/>
  <c r="AS11"/>
  <c r="A34" i="33" s="1"/>
  <c r="AS8" i="32"/>
  <c r="H20" i="33" s="1"/>
  <c r="AS29" i="32"/>
  <c r="H83" i="33" s="1"/>
  <c r="AQ21" i="32"/>
  <c r="K52" i="33" s="1"/>
  <c r="D6" i="32"/>
  <c r="AP28"/>
  <c r="D19" i="17"/>
  <c r="D21"/>
  <c r="D23"/>
  <c r="D6"/>
  <c r="D4"/>
  <c r="AS31" i="32"/>
  <c r="A90" i="33" s="1"/>
  <c r="AS17" i="32"/>
  <c r="A48" i="33" s="1"/>
  <c r="D15" i="32"/>
  <c r="D15" i="17"/>
  <c r="AS10" i="32"/>
  <c r="A27" i="33" s="1"/>
  <c r="D25" i="17"/>
  <c r="D10"/>
  <c r="D12"/>
  <c r="D10" i="32"/>
  <c r="D26"/>
  <c r="D28"/>
  <c r="D29"/>
  <c r="AQ3"/>
  <c r="D3" i="33" s="1"/>
  <c r="AS13" i="32"/>
  <c r="H27" i="33" s="1"/>
  <c r="AQ17" i="32"/>
  <c r="D45" i="33" s="1"/>
  <c r="D27" i="32"/>
  <c r="D30"/>
  <c r="AE34" s="1"/>
  <c r="AP35"/>
  <c r="AQ22"/>
  <c r="K59" i="33" s="1"/>
  <c r="D12" i="32"/>
  <c r="D14"/>
  <c r="AP14"/>
  <c r="D27" i="17"/>
  <c r="D4" i="32"/>
  <c r="AP29"/>
  <c r="AS4"/>
  <c r="A13" i="33" s="1"/>
  <c r="AQ6" i="32"/>
  <c r="K3" i="33" s="1"/>
  <c r="AQ10" i="32"/>
  <c r="AQ35"/>
  <c r="AP7"/>
  <c r="AS24"/>
  <c r="A69" i="33" s="1"/>
  <c r="AP27" i="32"/>
  <c r="AP34"/>
  <c r="AS35"/>
  <c r="H97" i="33" s="1"/>
  <c r="AS21" i="32"/>
  <c r="H55" i="33" s="1"/>
  <c r="AQ27" i="32"/>
  <c r="K66" i="33" s="1"/>
  <c r="AS28" i="32"/>
  <c r="H76" i="33" s="1"/>
  <c r="AQ34" i="32"/>
  <c r="K87" i="33" s="1"/>
  <c r="AP13" i="32"/>
  <c r="AQ20"/>
  <c r="K45" i="33" s="1"/>
  <c r="AS27" i="32"/>
  <c r="H69" i="33" s="1"/>
  <c r="AP33" i="32"/>
  <c r="AS34"/>
  <c r="H90" i="33" s="1"/>
  <c r="AQ8" i="32"/>
  <c r="AS14"/>
  <c r="H34" i="33" s="1"/>
  <c r="AP20" i="32"/>
  <c r="AP6"/>
  <c r="AS7"/>
  <c r="H13" i="33" s="1"/>
  <c r="AQ13" i="32"/>
  <c r="K24" i="33" s="1"/>
  <c r="AP19" i="32"/>
  <c r="AP26"/>
  <c r="AQ33"/>
  <c r="D101" i="33" s="1"/>
  <c r="AP12" i="32"/>
  <c r="AQ19"/>
  <c r="D59" i="33" s="1"/>
  <c r="AS20" i="32"/>
  <c r="H48" i="33" s="1"/>
  <c r="AQ26" i="32"/>
  <c r="D80" i="33" s="1"/>
  <c r="AP25" i="32"/>
  <c r="AP32"/>
  <c r="AS33"/>
  <c r="A104" i="33" s="1"/>
  <c r="AS19" i="32"/>
  <c r="A62" i="33" s="1"/>
  <c r="AQ25" i="32"/>
  <c r="D73" i="33" s="1"/>
  <c r="AS26" i="32"/>
  <c r="A83" i="33" s="1"/>
  <c r="AQ32" i="32"/>
  <c r="D94" i="33" s="1"/>
  <c r="AQ28" i="32"/>
  <c r="AQ5"/>
  <c r="D17" i="33" s="1"/>
  <c r="AS12" i="32"/>
  <c r="A41" i="33" s="1"/>
  <c r="AP11" i="32"/>
  <c r="AQ18"/>
  <c r="D52" i="33" s="1"/>
  <c r="AS25" i="32"/>
  <c r="A76" i="33" s="1"/>
  <c r="AP31" i="32"/>
  <c r="AS32"/>
  <c r="A97" i="33" s="1"/>
  <c r="AQ12" i="32"/>
  <c r="D38" i="33" s="1"/>
  <c r="AP5" i="32"/>
  <c r="AP18"/>
  <c r="AP4"/>
  <c r="AQ4"/>
  <c r="D10" i="33" s="1"/>
  <c r="AS5" i="32"/>
  <c r="A20" i="33" s="1"/>
  <c r="AQ11" i="32"/>
  <c r="D31" i="33" s="1"/>
  <c r="AP24" i="32"/>
  <c r="AQ31"/>
  <c r="D87" i="33" s="1"/>
  <c r="AP36" i="32"/>
  <c r="AP17"/>
  <c r="AS18"/>
  <c r="A55" i="33" s="1"/>
  <c r="AQ24" i="32"/>
  <c r="D66" i="33" s="1"/>
  <c r="AQ29" i="32"/>
  <c r="K80" i="33" s="1"/>
  <c r="AQ36" i="32"/>
  <c r="K101" i="33" s="1"/>
  <c r="AP22" i="32"/>
  <c r="AP3"/>
  <c r="AP15"/>
  <c r="H100" i="29"/>
  <c r="A100"/>
  <c r="H93"/>
  <c r="A93"/>
  <c r="H86"/>
  <c r="A86"/>
  <c r="H79"/>
  <c r="A79"/>
  <c r="H72"/>
  <c r="A72"/>
  <c r="H65"/>
  <c r="A65"/>
  <c r="H58"/>
  <c r="A58"/>
  <c r="H51"/>
  <c r="A51"/>
  <c r="H44"/>
  <c r="A44"/>
  <c r="H37"/>
  <c r="A37"/>
  <c r="H30"/>
  <c r="A30"/>
  <c r="H23"/>
  <c r="A23"/>
  <c r="H16"/>
  <c r="A16"/>
  <c r="H9"/>
  <c r="A9"/>
  <c r="H2"/>
  <c r="A2"/>
  <c r="K100" i="30"/>
  <c r="H100"/>
  <c r="D100"/>
  <c r="A100"/>
  <c r="H99"/>
  <c r="A99"/>
  <c r="K93"/>
  <c r="H93"/>
  <c r="D93"/>
  <c r="A93"/>
  <c r="H92"/>
  <c r="A92"/>
  <c r="K86"/>
  <c r="H86"/>
  <c r="D86"/>
  <c r="A86"/>
  <c r="H85"/>
  <c r="A85"/>
  <c r="K79"/>
  <c r="H79"/>
  <c r="D79"/>
  <c r="A79"/>
  <c r="H78"/>
  <c r="A78"/>
  <c r="K72"/>
  <c r="H72"/>
  <c r="D72"/>
  <c r="A72"/>
  <c r="H71"/>
  <c r="A71"/>
  <c r="K65"/>
  <c r="H65"/>
  <c r="D65"/>
  <c r="A65"/>
  <c r="H64"/>
  <c r="A64"/>
  <c r="K58"/>
  <c r="H58"/>
  <c r="D58"/>
  <c r="A58"/>
  <c r="H57"/>
  <c r="A57"/>
  <c r="K51"/>
  <c r="H51"/>
  <c r="D51"/>
  <c r="A51"/>
  <c r="H50"/>
  <c r="A50"/>
  <c r="K44"/>
  <c r="H44"/>
  <c r="D44"/>
  <c r="A44"/>
  <c r="H43"/>
  <c r="A43"/>
  <c r="K37"/>
  <c r="H37"/>
  <c r="D37"/>
  <c r="A37"/>
  <c r="H36"/>
  <c r="A36"/>
  <c r="K30"/>
  <c r="H30"/>
  <c r="D30"/>
  <c r="A30"/>
  <c r="H29"/>
  <c r="A29"/>
  <c r="K23"/>
  <c r="H23"/>
  <c r="D23"/>
  <c r="A23"/>
  <c r="H22"/>
  <c r="A22"/>
  <c r="K16"/>
  <c r="H16"/>
  <c r="D16"/>
  <c r="A16"/>
  <c r="H15"/>
  <c r="A15"/>
  <c r="K9"/>
  <c r="H9"/>
  <c r="D9"/>
  <c r="A9"/>
  <c r="H8"/>
  <c r="A8"/>
  <c r="K2"/>
  <c r="H2"/>
  <c r="D2"/>
  <c r="A2"/>
  <c r="H1"/>
  <c r="A1"/>
  <c r="M100"/>
  <c r="J100"/>
  <c r="I100"/>
  <c r="F100"/>
  <c r="C100"/>
  <c r="B100"/>
  <c r="M93"/>
  <c r="J93"/>
  <c r="I93"/>
  <c r="F93"/>
  <c r="C93"/>
  <c r="B93"/>
  <c r="M86"/>
  <c r="J86"/>
  <c r="I86"/>
  <c r="F86"/>
  <c r="C86"/>
  <c r="B86"/>
  <c r="M79"/>
  <c r="J79"/>
  <c r="I79"/>
  <c r="F79"/>
  <c r="C79"/>
  <c r="B79"/>
  <c r="M72"/>
  <c r="J72"/>
  <c r="I72"/>
  <c r="F72"/>
  <c r="C72"/>
  <c r="B72"/>
  <c r="M65"/>
  <c r="J65"/>
  <c r="I65"/>
  <c r="F65"/>
  <c r="C65"/>
  <c r="B65"/>
  <c r="M58"/>
  <c r="J58"/>
  <c r="I58"/>
  <c r="F58"/>
  <c r="C58"/>
  <c r="B58"/>
  <c r="M51"/>
  <c r="J51"/>
  <c r="I51"/>
  <c r="F51"/>
  <c r="C51"/>
  <c r="B51"/>
  <c r="M44"/>
  <c r="J44"/>
  <c r="I44"/>
  <c r="F44"/>
  <c r="C44"/>
  <c r="B44"/>
  <c r="M37"/>
  <c r="J37"/>
  <c r="I37"/>
  <c r="F37"/>
  <c r="C37"/>
  <c r="B37"/>
  <c r="M30"/>
  <c r="J30"/>
  <c r="I30"/>
  <c r="F30"/>
  <c r="C30"/>
  <c r="B30"/>
  <c r="M23"/>
  <c r="J23"/>
  <c r="I23"/>
  <c r="F23"/>
  <c r="C23"/>
  <c r="B23"/>
  <c r="M16"/>
  <c r="J16"/>
  <c r="I16"/>
  <c r="F16"/>
  <c r="C16"/>
  <c r="B16"/>
  <c r="M9"/>
  <c r="J9"/>
  <c r="I9"/>
  <c r="F9"/>
  <c r="C9"/>
  <c r="B9"/>
  <c r="M2"/>
  <c r="J2"/>
  <c r="I2"/>
  <c r="F2"/>
  <c r="C2"/>
  <c r="B2"/>
  <c r="K100" i="29"/>
  <c r="D100"/>
  <c r="H99"/>
  <c r="A99"/>
  <c r="K93"/>
  <c r="D93"/>
  <c r="H92"/>
  <c r="A92"/>
  <c r="K86"/>
  <c r="D86"/>
  <c r="H85"/>
  <c r="A85"/>
  <c r="K79"/>
  <c r="D79"/>
  <c r="H78"/>
  <c r="A78"/>
  <c r="K72"/>
  <c r="D72"/>
  <c r="H71"/>
  <c r="A71"/>
  <c r="K65"/>
  <c r="D65"/>
  <c r="H64"/>
  <c r="A64"/>
  <c r="K58"/>
  <c r="D58"/>
  <c r="H57"/>
  <c r="A57"/>
  <c r="K51"/>
  <c r="D51"/>
  <c r="H50"/>
  <c r="A50"/>
  <c r="K44"/>
  <c r="D44"/>
  <c r="H43"/>
  <c r="A43"/>
  <c r="K37"/>
  <c r="D37"/>
  <c r="H36"/>
  <c r="A36"/>
  <c r="K30"/>
  <c r="D30"/>
  <c r="H29"/>
  <c r="A29"/>
  <c r="K23"/>
  <c r="D23"/>
  <c r="H22"/>
  <c r="A22"/>
  <c r="K16"/>
  <c r="D16"/>
  <c r="H15"/>
  <c r="A15"/>
  <c r="K9"/>
  <c r="D9"/>
  <c r="H8"/>
  <c r="A8"/>
  <c r="K2"/>
  <c r="D2"/>
  <c r="H1"/>
  <c r="A1"/>
  <c r="M100"/>
  <c r="J100"/>
  <c r="I100"/>
  <c r="F100"/>
  <c r="C100"/>
  <c r="B100"/>
  <c r="M93"/>
  <c r="J93"/>
  <c r="I93"/>
  <c r="F93"/>
  <c r="C93"/>
  <c r="B93"/>
  <c r="M86"/>
  <c r="J86"/>
  <c r="I86"/>
  <c r="F86"/>
  <c r="C86"/>
  <c r="B86"/>
  <c r="M79"/>
  <c r="J79"/>
  <c r="I79"/>
  <c r="F79"/>
  <c r="C79"/>
  <c r="B79"/>
  <c r="M72"/>
  <c r="J72"/>
  <c r="I72"/>
  <c r="F72"/>
  <c r="C72"/>
  <c r="B72"/>
  <c r="M65"/>
  <c r="J65"/>
  <c r="I65"/>
  <c r="F65"/>
  <c r="C65"/>
  <c r="B65"/>
  <c r="M58"/>
  <c r="J58"/>
  <c r="I58"/>
  <c r="F58"/>
  <c r="C58"/>
  <c r="B58"/>
  <c r="M51"/>
  <c r="J51"/>
  <c r="I51"/>
  <c r="F51"/>
  <c r="C51"/>
  <c r="B51"/>
  <c r="M44"/>
  <c r="J44"/>
  <c r="I44"/>
  <c r="F44"/>
  <c r="C44"/>
  <c r="B44"/>
  <c r="M37"/>
  <c r="J37"/>
  <c r="I37"/>
  <c r="F37"/>
  <c r="C37"/>
  <c r="B37"/>
  <c r="M30"/>
  <c r="J30"/>
  <c r="I30"/>
  <c r="F30"/>
  <c r="C30"/>
  <c r="B30"/>
  <c r="M23"/>
  <c r="J23"/>
  <c r="I23"/>
  <c r="F23"/>
  <c r="B23"/>
  <c r="M16"/>
  <c r="J16"/>
  <c r="I16"/>
  <c r="F16"/>
  <c r="C16"/>
  <c r="B16"/>
  <c r="M9"/>
  <c r="J9"/>
  <c r="I9"/>
  <c r="F9"/>
  <c r="C9"/>
  <c r="B9"/>
  <c r="M2"/>
  <c r="J2"/>
  <c r="I2"/>
  <c r="F2"/>
  <c r="C2"/>
  <c r="B2"/>
  <c r="AC32" i="32" l="1"/>
  <c r="AE18"/>
  <c r="AC3"/>
  <c r="AE33"/>
  <c r="AC12"/>
  <c r="A87" i="33"/>
  <c r="A10"/>
  <c r="H94"/>
  <c r="H17"/>
  <c r="A80"/>
  <c r="A52"/>
  <c r="H24"/>
  <c r="H73"/>
  <c r="A17"/>
  <c r="A101"/>
  <c r="H80"/>
  <c r="H101"/>
  <c r="A59"/>
  <c r="H66"/>
  <c r="H31"/>
  <c r="H3"/>
  <c r="H52"/>
  <c r="A24"/>
  <c r="AC31" i="32"/>
  <c r="AC5"/>
  <c r="AC18"/>
  <c r="AE11"/>
  <c r="AE20"/>
  <c r="AE6"/>
  <c r="AC13"/>
  <c r="H87" i="33"/>
  <c r="H38"/>
  <c r="H45"/>
  <c r="H59"/>
  <c r="K17"/>
  <c r="A94"/>
  <c r="A45"/>
  <c r="H10"/>
  <c r="A31"/>
  <c r="K94"/>
  <c r="D24"/>
  <c r="A66"/>
  <c r="K73"/>
  <c r="A3"/>
  <c r="A73"/>
  <c r="A38"/>
  <c r="AC19" i="32"/>
  <c r="AE5"/>
  <c r="AC27"/>
  <c r="AE10"/>
  <c r="AC6"/>
  <c r="AE21"/>
  <c r="AC28"/>
  <c r="AC15"/>
  <c r="AE36"/>
  <c r="AE12"/>
  <c r="AC26"/>
  <c r="AC4"/>
  <c r="AE32"/>
  <c r="AC17"/>
  <c r="AC34"/>
  <c r="AE14"/>
  <c r="AC21"/>
  <c r="AC8"/>
  <c r="AE29"/>
  <c r="AC14"/>
  <c r="AE7"/>
  <c r="AE27"/>
  <c r="AE22"/>
  <c r="AC36"/>
  <c r="AE3"/>
  <c r="AC10"/>
  <c r="AE17"/>
  <c r="AE31"/>
  <c r="AC24"/>
  <c r="AE13"/>
  <c r="AE28"/>
  <c r="AE8"/>
  <c r="AC35"/>
  <c r="AC22"/>
  <c r="AE19"/>
  <c r="AE4"/>
  <c r="AC33"/>
  <c r="AE24"/>
  <c r="AC11"/>
  <c r="AC20"/>
  <c r="AC7"/>
  <c r="AE35"/>
  <c r="AE15"/>
  <c r="AC29"/>
  <c r="AS36" i="16"/>
  <c r="AS35"/>
  <c r="AS34"/>
  <c r="AS33"/>
  <c r="AS32"/>
  <c r="AS31"/>
  <c r="AS29"/>
  <c r="AS28"/>
  <c r="AS27"/>
  <c r="AS26"/>
  <c r="AS25"/>
  <c r="AS24"/>
  <c r="AS22"/>
  <c r="AS21"/>
  <c r="AS20"/>
  <c r="AS19"/>
  <c r="AS18"/>
  <c r="AS17"/>
  <c r="AS15"/>
  <c r="AS14"/>
  <c r="AS13"/>
  <c r="AS12"/>
  <c r="AS11"/>
  <c r="AS10"/>
  <c r="AS8"/>
  <c r="AS7"/>
  <c r="AS6"/>
  <c r="AS5"/>
  <c r="AS4"/>
  <c r="AS3"/>
  <c r="M100" i="25"/>
  <c r="K100"/>
  <c r="H100"/>
  <c r="F100"/>
  <c r="D100"/>
  <c r="A100"/>
  <c r="H99"/>
  <c r="A99"/>
  <c r="M93"/>
  <c r="K93"/>
  <c r="H93"/>
  <c r="F93"/>
  <c r="D93"/>
  <c r="A93"/>
  <c r="H92"/>
  <c r="A92"/>
  <c r="M86"/>
  <c r="K86"/>
  <c r="H86"/>
  <c r="F86"/>
  <c r="D86"/>
  <c r="A86"/>
  <c r="H85"/>
  <c r="A85"/>
  <c r="M79"/>
  <c r="K79"/>
  <c r="H79"/>
  <c r="F79"/>
  <c r="D79"/>
  <c r="A79"/>
  <c r="H78"/>
  <c r="A78"/>
  <c r="M72"/>
  <c r="K72"/>
  <c r="H72"/>
  <c r="F72"/>
  <c r="D72"/>
  <c r="A72"/>
  <c r="H71"/>
  <c r="A71"/>
  <c r="M65"/>
  <c r="K65"/>
  <c r="H65"/>
  <c r="F65"/>
  <c r="D65"/>
  <c r="A65"/>
  <c r="H64"/>
  <c r="A64"/>
  <c r="M58"/>
  <c r="K58"/>
  <c r="H58"/>
  <c r="F58"/>
  <c r="D58"/>
  <c r="A58"/>
  <c r="H57"/>
  <c r="A57"/>
  <c r="M51"/>
  <c r="K51"/>
  <c r="H51"/>
  <c r="F51"/>
  <c r="D51"/>
  <c r="A51"/>
  <c r="H50"/>
  <c r="A50"/>
  <c r="M44"/>
  <c r="K44"/>
  <c r="H44"/>
  <c r="F44"/>
  <c r="D44"/>
  <c r="A44"/>
  <c r="H43"/>
  <c r="A43"/>
  <c r="M37"/>
  <c r="K37"/>
  <c r="H37"/>
  <c r="F37"/>
  <c r="D37"/>
  <c r="A37"/>
  <c r="H36"/>
  <c r="A36"/>
  <c r="M30"/>
  <c r="K30"/>
  <c r="H30"/>
  <c r="F30"/>
  <c r="D30"/>
  <c r="A30"/>
  <c r="H29"/>
  <c r="A29"/>
  <c r="M23"/>
  <c r="K23"/>
  <c r="H23"/>
  <c r="F23"/>
  <c r="D23"/>
  <c r="A23"/>
  <c r="H22"/>
  <c r="A22"/>
  <c r="M16"/>
  <c r="K16"/>
  <c r="H16"/>
  <c r="F16"/>
  <c r="D16"/>
  <c r="A16"/>
  <c r="H15"/>
  <c r="A15"/>
  <c r="M9"/>
  <c r="K9"/>
  <c r="H9"/>
  <c r="F9"/>
  <c r="D9"/>
  <c r="A9"/>
  <c r="H8"/>
  <c r="A8"/>
  <c r="M2"/>
  <c r="K2"/>
  <c r="H2"/>
  <c r="F2"/>
  <c r="D2"/>
  <c r="A2"/>
  <c r="H1"/>
  <c r="A1"/>
  <c r="B2"/>
  <c r="I2"/>
  <c r="J2"/>
  <c r="B9"/>
  <c r="C9"/>
  <c r="I9"/>
  <c r="J9"/>
  <c r="B16"/>
  <c r="C16"/>
  <c r="I16"/>
  <c r="J16"/>
  <c r="B23"/>
  <c r="C23"/>
  <c r="I23"/>
  <c r="J23"/>
  <c r="B30"/>
  <c r="C30"/>
  <c r="I30"/>
  <c r="J30"/>
  <c r="B37"/>
  <c r="C37"/>
  <c r="I37"/>
  <c r="J37"/>
  <c r="B44"/>
  <c r="C44"/>
  <c r="I44"/>
  <c r="J44"/>
  <c r="B51"/>
  <c r="C51"/>
  <c r="I51"/>
  <c r="J51"/>
  <c r="B58"/>
  <c r="C58"/>
  <c r="I58"/>
  <c r="J58"/>
  <c r="B65"/>
  <c r="C65"/>
  <c r="I65"/>
  <c r="J65"/>
  <c r="B72"/>
  <c r="C72"/>
  <c r="I72"/>
  <c r="J72"/>
  <c r="B79"/>
  <c r="C79"/>
  <c r="I79"/>
  <c r="J79"/>
  <c r="B86"/>
  <c r="C86"/>
  <c r="I86"/>
  <c r="J86"/>
  <c r="B93"/>
  <c r="C93"/>
  <c r="I93"/>
  <c r="J93"/>
  <c r="B100"/>
  <c r="C100"/>
  <c r="I100"/>
  <c r="J100"/>
  <c r="AS36" i="2"/>
  <c r="AS35"/>
  <c r="AS34"/>
  <c r="AS33"/>
  <c r="AS32"/>
  <c r="AS31"/>
  <c r="AS29"/>
  <c r="AS28"/>
  <c r="AS27"/>
  <c r="AS26"/>
  <c r="AS24"/>
  <c r="AS22"/>
  <c r="AS21"/>
  <c r="AS20"/>
  <c r="AS19"/>
  <c r="AS18"/>
  <c r="AS25"/>
  <c r="AS17"/>
  <c r="AS15"/>
  <c r="AS14"/>
  <c r="AS13"/>
  <c r="AS12"/>
  <c r="AS11"/>
  <c r="AS10"/>
  <c r="AS8"/>
  <c r="AS7"/>
  <c r="AS6"/>
  <c r="AS5"/>
  <c r="AS4"/>
  <c r="AS3"/>
  <c r="H27" i="30" l="1"/>
  <c r="H90"/>
  <c r="H41"/>
  <c r="H104"/>
  <c r="H48"/>
  <c r="H55"/>
  <c r="H76"/>
  <c r="H6"/>
  <c r="H13"/>
  <c r="H69"/>
  <c r="H34"/>
  <c r="H62"/>
  <c r="H97"/>
  <c r="H83"/>
  <c r="H20"/>
  <c r="A27"/>
  <c r="A90"/>
  <c r="A104"/>
  <c r="A48"/>
  <c r="A55"/>
  <c r="A41"/>
  <c r="A6"/>
  <c r="A13"/>
  <c r="A69"/>
  <c r="A76"/>
  <c r="A62"/>
  <c r="A34"/>
  <c r="A97"/>
  <c r="A20"/>
  <c r="A83"/>
  <c r="H76" i="25"/>
  <c r="H41"/>
  <c r="H90"/>
  <c r="H55"/>
  <c r="H27"/>
  <c r="H48"/>
  <c r="H13"/>
  <c r="H6"/>
  <c r="H69"/>
  <c r="H104"/>
  <c r="H62"/>
  <c r="H34"/>
  <c r="H20"/>
  <c r="H83"/>
  <c r="H97"/>
  <c r="A41"/>
  <c r="A76"/>
  <c r="A48"/>
  <c r="A13"/>
  <c r="A27"/>
  <c r="A90"/>
  <c r="A55"/>
  <c r="A104"/>
  <c r="A6"/>
  <c r="A69"/>
  <c r="A62"/>
  <c r="A34"/>
  <c r="A20"/>
  <c r="A83"/>
  <c r="A97"/>
  <c r="D15" i="16"/>
  <c r="D14"/>
  <c r="D13"/>
  <c r="D12"/>
  <c r="D11"/>
  <c r="D10"/>
  <c r="D9"/>
  <c r="D8"/>
  <c r="D7"/>
  <c r="D6"/>
  <c r="D5"/>
  <c r="D4"/>
  <c r="D30"/>
  <c r="D29"/>
  <c r="D27"/>
  <c r="D26"/>
  <c r="D25"/>
  <c r="D24"/>
  <c r="D23"/>
  <c r="D22"/>
  <c r="D21"/>
  <c r="D19"/>
  <c r="D20"/>
  <c r="D28"/>
  <c r="C4" i="24" l="1"/>
  <c r="D4"/>
  <c r="C5"/>
  <c r="D5"/>
  <c r="AS19" i="17"/>
  <c r="A62" i="29" s="1"/>
  <c r="AS11" i="17"/>
  <c r="A34" i="29" s="1"/>
  <c r="AS33" i="17"/>
  <c r="A104" i="29" s="1"/>
  <c r="AS24" i="17"/>
  <c r="A69" i="29" s="1"/>
  <c r="A6"/>
  <c r="C8" i="24" l="1"/>
  <c r="D8"/>
  <c r="C6"/>
  <c r="D6"/>
  <c r="D11"/>
  <c r="C11"/>
  <c r="C7"/>
  <c r="D7"/>
  <c r="D13"/>
  <c r="C13"/>
  <c r="D12"/>
  <c r="C12"/>
  <c r="C3"/>
  <c r="D3"/>
  <c r="C9"/>
  <c r="D9"/>
  <c r="D10"/>
  <c r="C10"/>
  <c r="AS20" i="17"/>
  <c r="H48" i="29" s="1"/>
  <c r="AS7" i="17"/>
  <c r="H13" i="29" s="1"/>
  <c r="AS28" i="17"/>
  <c r="H76" i="29" s="1"/>
  <c r="AS15" i="17"/>
  <c r="H41" i="29" s="1"/>
  <c r="AS34" i="17"/>
  <c r="H90" i="29" s="1"/>
  <c r="AS21" i="17"/>
  <c r="H55" i="29" s="1"/>
  <c r="AS13" i="17"/>
  <c r="H27" i="29" s="1"/>
  <c r="AS4" i="17"/>
  <c r="A13" i="29" s="1"/>
  <c r="AS17" i="17"/>
  <c r="A48" i="29" s="1"/>
  <c r="AS25" i="17"/>
  <c r="A76" i="29" s="1"/>
  <c r="AS12" i="17"/>
  <c r="A41" i="29" s="1"/>
  <c r="AS31" i="17"/>
  <c r="A90" i="29" s="1"/>
  <c r="AS18" i="17"/>
  <c r="A55" i="29" s="1"/>
  <c r="AS10" i="17"/>
  <c r="A27" i="29" s="1"/>
  <c r="AS32" i="17"/>
  <c r="A97" i="29" s="1"/>
  <c r="AS26" i="17"/>
  <c r="A83" i="29" s="1"/>
  <c r="AS5" i="17"/>
  <c r="A20" i="29" s="1"/>
  <c r="AS35" i="17"/>
  <c r="H97" i="29" s="1"/>
  <c r="AS29" i="17"/>
  <c r="H83" i="29" s="1"/>
  <c r="AS8" i="17"/>
  <c r="H20" i="29" s="1"/>
  <c r="AS36" i="17"/>
  <c r="H104" i="29" s="1"/>
  <c r="AS27" i="17"/>
  <c r="H69" i="29" s="1"/>
  <c r="AS6" i="17"/>
  <c r="H6" i="29" s="1"/>
  <c r="AS14" i="17"/>
  <c r="H34" i="29" s="1"/>
  <c r="AS22" i="17"/>
  <c r="H62" i="29" s="1"/>
  <c r="J12" i="13"/>
  <c r="J37" l="1"/>
  <c r="J36"/>
  <c r="J35"/>
  <c r="J34"/>
  <c r="J33"/>
  <c r="J32"/>
  <c r="J30"/>
  <c r="J29"/>
  <c r="J28"/>
  <c r="J27"/>
  <c r="J26"/>
  <c r="J25"/>
  <c r="J23"/>
  <c r="J22"/>
  <c r="J21"/>
  <c r="J20"/>
  <c r="J19"/>
  <c r="J18"/>
  <c r="J16"/>
  <c r="J15"/>
  <c r="J14"/>
  <c r="J13"/>
  <c r="J11"/>
  <c r="J9"/>
  <c r="J8"/>
  <c r="J7"/>
  <c r="J6"/>
  <c r="J5"/>
  <c r="J4"/>
  <c r="F37"/>
  <c r="F36"/>
  <c r="F35"/>
  <c r="F34"/>
  <c r="F33"/>
  <c r="F32"/>
  <c r="F30"/>
  <c r="F29"/>
  <c r="F28"/>
  <c r="F27"/>
  <c r="F26"/>
  <c r="F25"/>
  <c r="F23"/>
  <c r="F22"/>
  <c r="F21"/>
  <c r="F20"/>
  <c r="F19"/>
  <c r="F18"/>
  <c r="F16"/>
  <c r="F15"/>
  <c r="F14"/>
  <c r="F13"/>
  <c r="F12"/>
  <c r="F11"/>
  <c r="F9"/>
  <c r="F8"/>
  <c r="F7"/>
  <c r="F6"/>
  <c r="F5"/>
  <c r="F4"/>
  <c r="AE6" i="16" l="1"/>
  <c r="AE7"/>
  <c r="AE8"/>
  <c r="AC34"/>
  <c r="AC7"/>
  <c r="AC28"/>
  <c r="AE31"/>
  <c r="AC33"/>
  <c r="AE5"/>
  <c r="AE11"/>
  <c r="AE32"/>
  <c r="AC3"/>
  <c r="AQ36" i="17"/>
  <c r="K101" i="29" s="1"/>
  <c r="AP36" i="17"/>
  <c r="AQ35"/>
  <c r="K94" i="29" s="1"/>
  <c r="AP35" i="17"/>
  <c r="AQ34"/>
  <c r="K87" i="29" s="1"/>
  <c r="AP34" i="17"/>
  <c r="AQ33"/>
  <c r="D101" i="29" s="1"/>
  <c r="AP33" i="17"/>
  <c r="AQ32"/>
  <c r="D94" i="29" s="1"/>
  <c r="AP32" i="17"/>
  <c r="AQ31"/>
  <c r="D87" i="29" s="1"/>
  <c r="AP31" i="17"/>
  <c r="AE6"/>
  <c r="AQ29"/>
  <c r="K80" i="29" s="1"/>
  <c r="AP29" i="17"/>
  <c r="AQ28"/>
  <c r="K73" i="29" s="1"/>
  <c r="AP28" i="17"/>
  <c r="AE7"/>
  <c r="AQ27"/>
  <c r="K66" i="29" s="1"/>
  <c r="AP27" i="17"/>
  <c r="AQ26"/>
  <c r="D80" i="29" s="1"/>
  <c r="AP26" i="17"/>
  <c r="AE13"/>
  <c r="AQ25"/>
  <c r="AP25"/>
  <c r="AQ24"/>
  <c r="D66" i="29" s="1"/>
  <c r="AP24" i="17"/>
  <c r="AC21"/>
  <c r="AQ22"/>
  <c r="K59" i="29" s="1"/>
  <c r="AP22" i="17"/>
  <c r="AC29"/>
  <c r="AQ21"/>
  <c r="K52" i="29" s="1"/>
  <c r="AP21" i="17"/>
  <c r="AQ20"/>
  <c r="K45" i="29" s="1"/>
  <c r="AP20" i="17"/>
  <c r="AE36"/>
  <c r="AQ19"/>
  <c r="D59" i="29" s="1"/>
  <c r="AP19" i="17"/>
  <c r="AQ18"/>
  <c r="D52" i="29" s="1"/>
  <c r="AP18" i="17"/>
  <c r="AQ17"/>
  <c r="D45" i="29" s="1"/>
  <c r="AP17" i="17"/>
  <c r="AQ15"/>
  <c r="K38" i="29" s="1"/>
  <c r="AP15" i="17"/>
  <c r="AE17"/>
  <c r="AQ14"/>
  <c r="K31" i="29" s="1"/>
  <c r="AP14" i="17"/>
  <c r="AQ13"/>
  <c r="K24" i="29" s="1"/>
  <c r="AP13" i="17"/>
  <c r="AE19"/>
  <c r="AQ12"/>
  <c r="D38" i="29" s="1"/>
  <c r="AP12" i="17"/>
  <c r="AQ11"/>
  <c r="D31" i="29" s="1"/>
  <c r="AP11" i="17"/>
  <c r="AE5"/>
  <c r="AQ10"/>
  <c r="AP10"/>
  <c r="AC31"/>
  <c r="AQ8"/>
  <c r="K17" i="29" s="1"/>
  <c r="AP8" i="17"/>
  <c r="AQ7"/>
  <c r="K10" i="29" s="1"/>
  <c r="AP7" i="17"/>
  <c r="AE32"/>
  <c r="AQ6"/>
  <c r="K3" i="29" s="1"/>
  <c r="AP6" i="17"/>
  <c r="AQ5"/>
  <c r="AP5"/>
  <c r="AC12"/>
  <c r="AQ4"/>
  <c r="D10" i="29" s="1"/>
  <c r="AP4" i="17"/>
  <c r="AQ3"/>
  <c r="D3" i="29" s="1"/>
  <c r="AP3" i="17"/>
  <c r="C41" i="15"/>
  <c r="W36" s="1"/>
  <c r="C40"/>
  <c r="C39"/>
  <c r="Y36" s="1"/>
  <c r="C38"/>
  <c r="C37"/>
  <c r="W35" s="1"/>
  <c r="C36"/>
  <c r="C35"/>
  <c r="W37" s="1"/>
  <c r="C34"/>
  <c r="C31"/>
  <c r="Y28" s="1"/>
  <c r="C30"/>
  <c r="C29"/>
  <c r="W29" s="1"/>
  <c r="C28"/>
  <c r="C27"/>
  <c r="Y27" s="1"/>
  <c r="C26"/>
  <c r="C25"/>
  <c r="W27" s="1"/>
  <c r="C24"/>
  <c r="C21"/>
  <c r="W16" s="1"/>
  <c r="C20"/>
  <c r="C19"/>
  <c r="Y15" s="1"/>
  <c r="C18"/>
  <c r="C17"/>
  <c r="Y17" s="1"/>
  <c r="C16"/>
  <c r="C15"/>
  <c r="W14" s="1"/>
  <c r="C14"/>
  <c r="C11"/>
  <c r="Y4" s="1"/>
  <c r="C10"/>
  <c r="C9"/>
  <c r="Y5" s="1"/>
  <c r="C8"/>
  <c r="C7"/>
  <c r="Y7" s="1"/>
  <c r="C6"/>
  <c r="C5"/>
  <c r="W7" s="1"/>
  <c r="C4"/>
  <c r="AK39"/>
  <c r="AJ39"/>
  <c r="AG39"/>
  <c r="J34" s="1"/>
  <c r="AE39"/>
  <c r="L34" s="1"/>
  <c r="D38" s="1"/>
  <c r="AK38"/>
  <c r="AJ38"/>
  <c r="AG38"/>
  <c r="O36" s="1"/>
  <c r="G40" s="1"/>
  <c r="AE38"/>
  <c r="M36" s="1"/>
  <c r="I40" s="1"/>
  <c r="N38"/>
  <c r="K40" s="1"/>
  <c r="AK37"/>
  <c r="AJ37"/>
  <c r="AG37"/>
  <c r="I34" s="1"/>
  <c r="D36" s="1"/>
  <c r="AE37"/>
  <c r="G34" s="1"/>
  <c r="F36" s="1"/>
  <c r="AK36"/>
  <c r="AJ36"/>
  <c r="AG36"/>
  <c r="M38" s="1"/>
  <c r="L40" s="1"/>
  <c r="AE36"/>
  <c r="O38" s="1"/>
  <c r="J40" s="1"/>
  <c r="N36"/>
  <c r="H40" s="1"/>
  <c r="K36"/>
  <c r="H38" s="1"/>
  <c r="AK35"/>
  <c r="AJ35"/>
  <c r="AG35"/>
  <c r="L36" s="1"/>
  <c r="G38" s="1"/>
  <c r="AE35"/>
  <c r="J36" s="1"/>
  <c r="I38" s="1"/>
  <c r="AK34"/>
  <c r="AJ34"/>
  <c r="AG34"/>
  <c r="O34" s="1"/>
  <c r="D40" s="1"/>
  <c r="AE34"/>
  <c r="M34" s="1"/>
  <c r="F40" s="1"/>
  <c r="N34"/>
  <c r="E40" s="1"/>
  <c r="K34"/>
  <c r="E38" s="1"/>
  <c r="H34"/>
  <c r="E36" s="1"/>
  <c r="AK29"/>
  <c r="AJ29"/>
  <c r="AG29"/>
  <c r="J24" s="1"/>
  <c r="F28" s="1"/>
  <c r="AE29"/>
  <c r="L24" s="1"/>
  <c r="D28" s="1"/>
  <c r="AK28"/>
  <c r="AJ28"/>
  <c r="AG28"/>
  <c r="O26" s="1"/>
  <c r="G30" s="1"/>
  <c r="AE28"/>
  <c r="M26" s="1"/>
  <c r="I30" s="1"/>
  <c r="N28"/>
  <c r="K30" s="1"/>
  <c r="AK27"/>
  <c r="AJ27"/>
  <c r="AG27"/>
  <c r="I24" s="1"/>
  <c r="AE27"/>
  <c r="G24" s="1"/>
  <c r="F26" s="1"/>
  <c r="AK26"/>
  <c r="AJ26"/>
  <c r="AG26"/>
  <c r="M28" s="1"/>
  <c r="L30" s="1"/>
  <c r="AE26"/>
  <c r="O28" s="1"/>
  <c r="N26"/>
  <c r="H30" s="1"/>
  <c r="K26"/>
  <c r="H28" s="1"/>
  <c r="AK25"/>
  <c r="AJ25"/>
  <c r="AG25"/>
  <c r="L26" s="1"/>
  <c r="G28" s="1"/>
  <c r="AE25"/>
  <c r="J26" s="1"/>
  <c r="I28" s="1"/>
  <c r="AK24"/>
  <c r="AJ24"/>
  <c r="AG24"/>
  <c r="O24" s="1"/>
  <c r="D30" s="1"/>
  <c r="AE24"/>
  <c r="M24" s="1"/>
  <c r="N24"/>
  <c r="E30" s="1"/>
  <c r="K24"/>
  <c r="E28" s="1"/>
  <c r="H24"/>
  <c r="E26"/>
  <c r="AK19"/>
  <c r="AJ19"/>
  <c r="AG19"/>
  <c r="J14" s="1"/>
  <c r="F18" s="1"/>
  <c r="AE19"/>
  <c r="L14" s="1"/>
  <c r="D18" s="1"/>
  <c r="AK18"/>
  <c r="AJ18"/>
  <c r="AG18"/>
  <c r="O16" s="1"/>
  <c r="G20" s="1"/>
  <c r="AE18"/>
  <c r="M16" s="1"/>
  <c r="I20"/>
  <c r="N18"/>
  <c r="K20" s="1"/>
  <c r="AK17"/>
  <c r="AJ17"/>
  <c r="AG17"/>
  <c r="I14" s="1"/>
  <c r="D16" s="1"/>
  <c r="AE17"/>
  <c r="G14" s="1"/>
  <c r="AK16"/>
  <c r="AJ16"/>
  <c r="AG16"/>
  <c r="M18" s="1"/>
  <c r="L20" s="1"/>
  <c r="AE16"/>
  <c r="O18" s="1"/>
  <c r="J20" s="1"/>
  <c r="N16"/>
  <c r="H20" s="1"/>
  <c r="K16"/>
  <c r="H18" s="1"/>
  <c r="AK15"/>
  <c r="AJ15"/>
  <c r="AG15"/>
  <c r="L16" s="1"/>
  <c r="AE15"/>
  <c r="J16"/>
  <c r="I18" s="1"/>
  <c r="AK14"/>
  <c r="AJ14"/>
  <c r="AG14"/>
  <c r="O14" s="1"/>
  <c r="D20" s="1"/>
  <c r="AE14"/>
  <c r="M14" s="1"/>
  <c r="F20" s="1"/>
  <c r="N14"/>
  <c r="E20" s="1"/>
  <c r="K14"/>
  <c r="E18" s="1"/>
  <c r="H14"/>
  <c r="E16" s="1"/>
  <c r="AK9"/>
  <c r="AJ9"/>
  <c r="AG9"/>
  <c r="J4" s="1"/>
  <c r="F8" s="1"/>
  <c r="AE9"/>
  <c r="L4" s="1"/>
  <c r="AK8"/>
  <c r="AJ8"/>
  <c r="AG8"/>
  <c r="O6" s="1"/>
  <c r="G10" s="1"/>
  <c r="AE8"/>
  <c r="M6" s="1"/>
  <c r="N8"/>
  <c r="K10" s="1"/>
  <c r="AK7"/>
  <c r="AJ7"/>
  <c r="AG7"/>
  <c r="I4" s="1"/>
  <c r="D6" s="1"/>
  <c r="AE7"/>
  <c r="G4" s="1"/>
  <c r="AK6"/>
  <c r="AJ6"/>
  <c r="AG6"/>
  <c r="M8" s="1"/>
  <c r="L10" s="1"/>
  <c r="AE6"/>
  <c r="O8" s="1"/>
  <c r="J10" s="1"/>
  <c r="N6"/>
  <c r="H10" s="1"/>
  <c r="K6"/>
  <c r="H8" s="1"/>
  <c r="AK5"/>
  <c r="AJ5"/>
  <c r="AG5"/>
  <c r="L6" s="1"/>
  <c r="G8" s="1"/>
  <c r="AE5"/>
  <c r="J6" s="1"/>
  <c r="I8" s="1"/>
  <c r="AK4"/>
  <c r="AJ4"/>
  <c r="AG4"/>
  <c r="O4" s="1"/>
  <c r="D10" s="1"/>
  <c r="AE4"/>
  <c r="M4" s="1"/>
  <c r="F10" s="1"/>
  <c r="N4"/>
  <c r="E10" s="1"/>
  <c r="K4"/>
  <c r="E8" s="1"/>
  <c r="H4"/>
  <c r="E6" s="1"/>
  <c r="AK29" i="12"/>
  <c r="AJ29"/>
  <c r="AK28"/>
  <c r="AJ28"/>
  <c r="AK26"/>
  <c r="AJ26"/>
  <c r="AK25"/>
  <c r="AJ25"/>
  <c r="AK18"/>
  <c r="AJ18"/>
  <c r="AK17"/>
  <c r="AJ17"/>
  <c r="AK15"/>
  <c r="AJ15"/>
  <c r="AK14"/>
  <c r="AJ14"/>
  <c r="AK7"/>
  <c r="AJ7"/>
  <c r="AK6"/>
  <c r="AJ6"/>
  <c r="AK4"/>
  <c r="AJ4"/>
  <c r="AK3"/>
  <c r="AJ3"/>
  <c r="AE18" i="2"/>
  <c r="AG29" i="12"/>
  <c r="H32" s="1"/>
  <c r="AE29"/>
  <c r="N28" s="1"/>
  <c r="J32"/>
  <c r="AG28"/>
  <c r="AE28"/>
  <c r="K26" s="1"/>
  <c r="AG26"/>
  <c r="M28" s="1"/>
  <c r="H30"/>
  <c r="AE26"/>
  <c r="K28" s="1"/>
  <c r="AG25"/>
  <c r="P26" s="1"/>
  <c r="AE25"/>
  <c r="N26" s="1"/>
  <c r="AG18"/>
  <c r="P17" s="1"/>
  <c r="AE18"/>
  <c r="N17" s="1"/>
  <c r="AG17"/>
  <c r="E19" s="1"/>
  <c r="AE17"/>
  <c r="K15" s="1"/>
  <c r="AG15"/>
  <c r="M17" s="1"/>
  <c r="AE15"/>
  <c r="J19" s="1"/>
  <c r="AG14"/>
  <c r="P15" s="1"/>
  <c r="AE14"/>
  <c r="N15" s="1"/>
  <c r="D33"/>
  <c r="Y25" s="1"/>
  <c r="D32"/>
  <c r="D31"/>
  <c r="Y28" s="1"/>
  <c r="D30"/>
  <c r="D29"/>
  <c r="W26" s="1"/>
  <c r="D28"/>
  <c r="D27"/>
  <c r="W25" s="1"/>
  <c r="D26"/>
  <c r="D22"/>
  <c r="Y18" s="1"/>
  <c r="D20"/>
  <c r="Y17" s="1"/>
  <c r="D18"/>
  <c r="W15" s="1"/>
  <c r="D16"/>
  <c r="W14" s="1"/>
  <c r="D11"/>
  <c r="Y3" s="1"/>
  <c r="D9"/>
  <c r="Y6" s="1"/>
  <c r="D7"/>
  <c r="W7" s="1"/>
  <c r="D5"/>
  <c r="W6" s="1"/>
  <c r="AE6"/>
  <c r="G8" s="1"/>
  <c r="AG6"/>
  <c r="E8" s="1"/>
  <c r="AE7"/>
  <c r="J10" s="1"/>
  <c r="AG7"/>
  <c r="H10" s="1"/>
  <c r="D4"/>
  <c r="AE3"/>
  <c r="G10" s="1"/>
  <c r="AG3"/>
  <c r="E10" s="1"/>
  <c r="AE4"/>
  <c r="K6" s="1"/>
  <c r="AG4"/>
  <c r="H8" s="1"/>
  <c r="D6"/>
  <c r="D8"/>
  <c r="D10"/>
  <c r="D15"/>
  <c r="D17"/>
  <c r="D19"/>
  <c r="D21"/>
  <c r="AC15" i="2"/>
  <c r="AC20"/>
  <c r="AE14"/>
  <c r="AE8"/>
  <c r="AE27"/>
  <c r="AE20"/>
  <c r="AC26"/>
  <c r="AC5"/>
  <c r="AE25"/>
  <c r="AC33"/>
  <c r="AC24"/>
  <c r="G30" i="12"/>
  <c r="E32"/>
  <c r="M15"/>
  <c r="E21"/>
  <c r="K17"/>
  <c r="H21"/>
  <c r="F16" i="15"/>
  <c r="P34"/>
  <c r="F38"/>
  <c r="AV32" i="16" l="1"/>
  <c r="AU32"/>
  <c r="AV17"/>
  <c r="AU17"/>
  <c r="AV26"/>
  <c r="AU26"/>
  <c r="AU4"/>
  <c r="AV4"/>
  <c r="AV3"/>
  <c r="AU3"/>
  <c r="AV33"/>
  <c r="AU33"/>
  <c r="AV25"/>
  <c r="AU25"/>
  <c r="AV12"/>
  <c r="AU12"/>
  <c r="AU18"/>
  <c r="AV18"/>
  <c r="AU21" i="2"/>
  <c r="AV21"/>
  <c r="AV14"/>
  <c r="AU14"/>
  <c r="AV24"/>
  <c r="AU24"/>
  <c r="AU33"/>
  <c r="AV33"/>
  <c r="AU12"/>
  <c r="AV12"/>
  <c r="A17" i="29"/>
  <c r="AV25" i="2"/>
  <c r="AU25"/>
  <c r="AU5"/>
  <c r="AV5"/>
  <c r="AV34"/>
  <c r="AU34"/>
  <c r="AV15"/>
  <c r="AU15"/>
  <c r="AV17"/>
  <c r="AU17"/>
  <c r="AV35"/>
  <c r="AU35"/>
  <c r="AU3"/>
  <c r="AV3"/>
  <c r="AU4"/>
  <c r="AV4"/>
  <c r="AU6"/>
  <c r="AV6"/>
  <c r="AU7"/>
  <c r="AV7"/>
  <c r="AU26"/>
  <c r="AV26"/>
  <c r="AV31"/>
  <c r="AU31"/>
  <c r="AU13"/>
  <c r="AV13"/>
  <c r="AV8"/>
  <c r="AU8"/>
  <c r="AU18"/>
  <c r="AV18"/>
  <c r="AV27"/>
  <c r="AU27"/>
  <c r="AU36"/>
  <c r="AV36"/>
  <c r="A24" i="29"/>
  <c r="A73"/>
  <c r="AU22" i="2"/>
  <c r="AV22"/>
  <c r="AV10"/>
  <c r="AU10"/>
  <c r="AU19"/>
  <c r="AV19"/>
  <c r="AU28"/>
  <c r="AV28"/>
  <c r="AV32"/>
  <c r="AU32"/>
  <c r="AV11"/>
  <c r="AU11"/>
  <c r="AU20"/>
  <c r="AV20"/>
  <c r="AU29"/>
  <c r="AV29"/>
  <c r="AM8"/>
  <c r="P23" s="1"/>
  <c r="AK8"/>
  <c r="N23" s="1"/>
  <c r="AM18"/>
  <c r="K4" s="1"/>
  <c r="AK18"/>
  <c r="E8" s="1"/>
  <c r="AM27"/>
  <c r="S29" s="1"/>
  <c r="AK27"/>
  <c r="Q29" s="1"/>
  <c r="AM36"/>
  <c r="G27" s="1"/>
  <c r="AK36"/>
  <c r="S19" s="1"/>
  <c r="R40" i="15"/>
  <c r="AK10" i="16"/>
  <c r="V10" s="1"/>
  <c r="AM10"/>
  <c r="P14" s="1"/>
  <c r="AM14"/>
  <c r="M27" s="1"/>
  <c r="AK14"/>
  <c r="K27" s="1"/>
  <c r="AM19"/>
  <c r="N12" s="1"/>
  <c r="AK19"/>
  <c r="Q10" s="1"/>
  <c r="AM26" i="2"/>
  <c r="H8" s="1"/>
  <c r="AK26"/>
  <c r="K6" s="1"/>
  <c r="AM5" i="16"/>
  <c r="P8" s="1"/>
  <c r="AK5"/>
  <c r="N8" s="1"/>
  <c r="AM25"/>
  <c r="E10" s="1"/>
  <c r="AK25"/>
  <c r="N4" s="1"/>
  <c r="R26" i="15"/>
  <c r="AK10" i="2"/>
  <c r="V10" s="1"/>
  <c r="AM10"/>
  <c r="P14" s="1"/>
  <c r="AK19"/>
  <c r="P12" s="1"/>
  <c r="AM19"/>
  <c r="N12" s="1"/>
  <c r="AM28"/>
  <c r="E25" s="1"/>
  <c r="AK28"/>
  <c r="N19" s="1"/>
  <c r="AM20" i="16"/>
  <c r="V21" s="1"/>
  <c r="AK20"/>
  <c r="J29" s="1"/>
  <c r="AK17" i="2"/>
  <c r="J14" s="1"/>
  <c r="AM17"/>
  <c r="H14" s="1"/>
  <c r="AM35"/>
  <c r="N21" s="1"/>
  <c r="AK35"/>
  <c r="H25" s="1"/>
  <c r="R38" i="15"/>
  <c r="AM31" i="16"/>
  <c r="V8" s="1"/>
  <c r="AK31"/>
  <c r="M14" s="1"/>
  <c r="AM35"/>
  <c r="J25" s="1"/>
  <c r="AK35"/>
  <c r="H25" s="1"/>
  <c r="AK29" i="2"/>
  <c r="K21" s="1"/>
  <c r="AM29"/>
  <c r="H23" s="1"/>
  <c r="AM11" i="16"/>
  <c r="M12" s="1"/>
  <c r="AK11"/>
  <c r="K12" s="1"/>
  <c r="AM15"/>
  <c r="E21" s="1"/>
  <c r="AK15"/>
  <c r="G21" s="1"/>
  <c r="AM7" i="2"/>
  <c r="H27" s="1"/>
  <c r="AK7"/>
  <c r="Q21" s="1"/>
  <c r="AK20"/>
  <c r="J29" s="1"/>
  <c r="AM20"/>
  <c r="H29" s="1"/>
  <c r="AM3"/>
  <c r="E14" s="1"/>
  <c r="AK3"/>
  <c r="T4" s="1"/>
  <c r="AM6" i="16"/>
  <c r="E29" s="1"/>
  <c r="AK6"/>
  <c r="T19" s="1"/>
  <c r="AM26"/>
  <c r="M6" s="1"/>
  <c r="AK26"/>
  <c r="K6" s="1"/>
  <c r="AK11" i="2"/>
  <c r="K12" s="1"/>
  <c r="AM11"/>
  <c r="P28" i="12"/>
  <c r="S17"/>
  <c r="AM12" i="2"/>
  <c r="E6" s="1"/>
  <c r="AK12"/>
  <c r="G6" s="1"/>
  <c r="AM21"/>
  <c r="K19" s="1"/>
  <c r="AK21"/>
  <c r="E23" s="1"/>
  <c r="AM31"/>
  <c r="V8" s="1"/>
  <c r="AK31"/>
  <c r="M14" s="1"/>
  <c r="AK21" i="16"/>
  <c r="E23" s="1"/>
  <c r="AM21"/>
  <c r="K19" s="1"/>
  <c r="AM4" i="2"/>
  <c r="S6" s="1"/>
  <c r="AK4"/>
  <c r="J12" s="1"/>
  <c r="AM17" i="16"/>
  <c r="H14" s="1"/>
  <c r="AK17"/>
  <c r="J14" s="1"/>
  <c r="AM27"/>
  <c r="S29" s="1"/>
  <c r="AK27"/>
  <c r="AM32"/>
  <c r="J10" s="1"/>
  <c r="AK32"/>
  <c r="P6" s="1"/>
  <c r="AM36"/>
  <c r="Q19" s="1"/>
  <c r="AK36"/>
  <c r="E27" s="1"/>
  <c r="AK12"/>
  <c r="G6" s="1"/>
  <c r="AM12"/>
  <c r="E6" s="1"/>
  <c r="AM29"/>
  <c r="H23" s="1"/>
  <c r="AK29"/>
  <c r="K21" s="1"/>
  <c r="M4" i="12"/>
  <c r="AM13" i="2"/>
  <c r="T25" s="1"/>
  <c r="AK13"/>
  <c r="V25" s="1"/>
  <c r="AM22"/>
  <c r="S25" s="1"/>
  <c r="AK22"/>
  <c r="P27" s="1"/>
  <c r="AM32"/>
  <c r="N6" s="1"/>
  <c r="AK32"/>
  <c r="H10" s="1"/>
  <c r="J30" i="12"/>
  <c r="AM5" i="2"/>
  <c r="K10" s="1"/>
  <c r="AK5"/>
  <c r="M10" s="1"/>
  <c r="AM7" i="16"/>
  <c r="S21" s="1"/>
  <c r="AK7"/>
  <c r="J27" s="1"/>
  <c r="AM34"/>
  <c r="V23" s="1"/>
  <c r="AK34"/>
  <c r="M29" s="1"/>
  <c r="AM14" i="2"/>
  <c r="M27" s="1"/>
  <c r="AK14"/>
  <c r="K27" s="1"/>
  <c r="AM24"/>
  <c r="S14" s="1"/>
  <c r="AK24"/>
  <c r="Q14" s="1"/>
  <c r="AM33"/>
  <c r="Q4" s="1"/>
  <c r="AK33"/>
  <c r="E12" s="1"/>
  <c r="AK3" i="16"/>
  <c r="T4" s="1"/>
  <c r="AM3"/>
  <c r="V4" s="1"/>
  <c r="AM22"/>
  <c r="S25" s="1"/>
  <c r="AK22"/>
  <c r="Q25" s="1"/>
  <c r="R20" i="15"/>
  <c r="AM18" i="16"/>
  <c r="G8" s="1"/>
  <c r="AK18"/>
  <c r="M4" s="1"/>
  <c r="AK28"/>
  <c r="N19" s="1"/>
  <c r="AM28"/>
  <c r="E25" s="1"/>
  <c r="AM33"/>
  <c r="Q4" s="1"/>
  <c r="AK33"/>
  <c r="E12" s="1"/>
  <c r="AM6" i="2"/>
  <c r="V19" s="1"/>
  <c r="AK6"/>
  <c r="G29" s="1"/>
  <c r="AM15"/>
  <c r="E21" s="1"/>
  <c r="AK15"/>
  <c r="G21" s="1"/>
  <c r="AM25"/>
  <c r="P4" s="1"/>
  <c r="AK25"/>
  <c r="N4" s="1"/>
  <c r="AM34"/>
  <c r="V23" s="1"/>
  <c r="AK34"/>
  <c r="M29" s="1"/>
  <c r="AK13" i="16"/>
  <c r="N29" s="1"/>
  <c r="AM13"/>
  <c r="P29" s="1"/>
  <c r="AK4"/>
  <c r="J12" s="1"/>
  <c r="AM4"/>
  <c r="H12" s="1"/>
  <c r="AM8"/>
  <c r="K25" s="1"/>
  <c r="AK8"/>
  <c r="N23" s="1"/>
  <c r="AM24"/>
  <c r="S14" s="1"/>
  <c r="AK24"/>
  <c r="V12" s="1"/>
  <c r="H87" i="29"/>
  <c r="A3"/>
  <c r="H94"/>
  <c r="H38"/>
  <c r="H59"/>
  <c r="H73"/>
  <c r="H101"/>
  <c r="A45"/>
  <c r="H80"/>
  <c r="H17"/>
  <c r="A31"/>
  <c r="A52"/>
  <c r="A66"/>
  <c r="H31"/>
  <c r="A87"/>
  <c r="H52"/>
  <c r="A10"/>
  <c r="H3"/>
  <c r="A38"/>
  <c r="H66"/>
  <c r="H10"/>
  <c r="H24"/>
  <c r="H45"/>
  <c r="A80"/>
  <c r="A101"/>
  <c r="D24"/>
  <c r="D17"/>
  <c r="A59"/>
  <c r="D73"/>
  <c r="A94"/>
  <c r="K17" i="30"/>
  <c r="K24"/>
  <c r="K59"/>
  <c r="K66"/>
  <c r="H101"/>
  <c r="H31"/>
  <c r="K31"/>
  <c r="K73"/>
  <c r="H66"/>
  <c r="H87"/>
  <c r="H17"/>
  <c r="K3"/>
  <c r="K45"/>
  <c r="K80"/>
  <c r="K87"/>
  <c r="H59"/>
  <c r="H24"/>
  <c r="H52"/>
  <c r="H94"/>
  <c r="K10"/>
  <c r="H45"/>
  <c r="H80"/>
  <c r="K38"/>
  <c r="H10"/>
  <c r="K94"/>
  <c r="K101"/>
  <c r="H73"/>
  <c r="H38"/>
  <c r="H3"/>
  <c r="K52"/>
  <c r="A52"/>
  <c r="A94"/>
  <c r="A59"/>
  <c r="A66"/>
  <c r="A101"/>
  <c r="D59"/>
  <c r="D66"/>
  <c r="D10"/>
  <c r="A24"/>
  <c r="D24"/>
  <c r="A17"/>
  <c r="D17"/>
  <c r="A31"/>
  <c r="D31"/>
  <c r="D73"/>
  <c r="A87"/>
  <c r="D3"/>
  <c r="D80"/>
  <c r="D87"/>
  <c r="D45"/>
  <c r="A10"/>
  <c r="D94"/>
  <c r="A45"/>
  <c r="A80"/>
  <c r="D38"/>
  <c r="D52"/>
  <c r="D101"/>
  <c r="A73"/>
  <c r="A3"/>
  <c r="A38"/>
  <c r="H66" i="25"/>
  <c r="K45"/>
  <c r="K3"/>
  <c r="H24"/>
  <c r="K87"/>
  <c r="K10"/>
  <c r="H101"/>
  <c r="K66"/>
  <c r="K59"/>
  <c r="H31"/>
  <c r="H94"/>
  <c r="K73"/>
  <c r="K17"/>
  <c r="H59"/>
  <c r="K24"/>
  <c r="H17"/>
  <c r="K80"/>
  <c r="H52"/>
  <c r="K31"/>
  <c r="H87"/>
  <c r="H10"/>
  <c r="K38"/>
  <c r="K94"/>
  <c r="H45"/>
  <c r="H80"/>
  <c r="K101"/>
  <c r="H73"/>
  <c r="K52"/>
  <c r="H3"/>
  <c r="H38"/>
  <c r="D45"/>
  <c r="A24"/>
  <c r="D3"/>
  <c r="D87"/>
  <c r="A66"/>
  <c r="A59"/>
  <c r="D73"/>
  <c r="D24"/>
  <c r="A94"/>
  <c r="D17"/>
  <c r="D59"/>
  <c r="A31"/>
  <c r="D10"/>
  <c r="A101"/>
  <c r="D66"/>
  <c r="D80"/>
  <c r="A52"/>
  <c r="D31"/>
  <c r="A87"/>
  <c r="A17"/>
  <c r="A45"/>
  <c r="A80"/>
  <c r="A10"/>
  <c r="D38"/>
  <c r="D94"/>
  <c r="D52"/>
  <c r="A3"/>
  <c r="A38"/>
  <c r="D101"/>
  <c r="A73"/>
  <c r="P40" i="15"/>
  <c r="P14"/>
  <c r="J21" i="12"/>
  <c r="Q21"/>
  <c r="Q17"/>
  <c r="S28"/>
  <c r="S36" i="15"/>
  <c r="P36"/>
  <c r="A7" i="13"/>
  <c r="C7" s="1"/>
  <c r="A16"/>
  <c r="C16" s="1"/>
  <c r="A26"/>
  <c r="C26" s="1"/>
  <c r="S40" i="15"/>
  <c r="P6" i="12"/>
  <c r="B19" i="13"/>
  <c r="E19" s="1"/>
  <c r="Q32" i="12"/>
  <c r="A13" i="13"/>
  <c r="C13" s="1"/>
  <c r="A29"/>
  <c r="C29" s="1"/>
  <c r="B37"/>
  <c r="E37" s="1"/>
  <c r="R36" i="15"/>
  <c r="H19" i="12"/>
  <c r="Q19" s="1"/>
  <c r="J8"/>
  <c r="S8" s="1"/>
  <c r="G21"/>
  <c r="Q8"/>
  <c r="A4" i="13"/>
  <c r="C4" s="1"/>
  <c r="B22"/>
  <c r="E22" s="1"/>
  <c r="B34"/>
  <c r="E34" s="1"/>
  <c r="AR3" i="16"/>
  <c r="Q8"/>
  <c r="W18" i="12"/>
  <c r="AR6" i="16"/>
  <c r="AR27"/>
  <c r="AR36"/>
  <c r="AR13"/>
  <c r="AR28"/>
  <c r="AR22"/>
  <c r="AR14"/>
  <c r="AR34"/>
  <c r="AR8"/>
  <c r="AR21"/>
  <c r="AR20"/>
  <c r="AR29"/>
  <c r="AR15"/>
  <c r="AR35"/>
  <c r="AR7"/>
  <c r="AR24"/>
  <c r="AR33"/>
  <c r="AR19"/>
  <c r="AR25"/>
  <c r="AR10"/>
  <c r="AR5"/>
  <c r="AR11"/>
  <c r="AR18"/>
  <c r="AR31"/>
  <c r="AR32"/>
  <c r="AR4"/>
  <c r="AR12"/>
  <c r="AR26"/>
  <c r="AR17"/>
  <c r="Y29" i="12"/>
  <c r="AE19" i="2"/>
  <c r="W5" i="15"/>
  <c r="A14" i="13"/>
  <c r="C14" s="1"/>
  <c r="A28"/>
  <c r="C28" s="1"/>
  <c r="AR6" i="2"/>
  <c r="B7" i="13"/>
  <c r="E7" s="1"/>
  <c r="B21"/>
  <c r="E21" s="1"/>
  <c r="B35"/>
  <c r="E35" s="1"/>
  <c r="B23"/>
  <c r="E23" s="1"/>
  <c r="AR27" i="2"/>
  <c r="B28" i="13"/>
  <c r="E28" s="1"/>
  <c r="A15"/>
  <c r="C15" s="1"/>
  <c r="B8"/>
  <c r="E8" s="1"/>
  <c r="AR36" i="2"/>
  <c r="A37" i="13"/>
  <c r="C37" s="1"/>
  <c r="A36"/>
  <c r="C36" s="1"/>
  <c r="AR28" i="2"/>
  <c r="B29" i="13"/>
  <c r="E29" s="1"/>
  <c r="AR22" i="2"/>
  <c r="A23" i="13"/>
  <c r="C23" s="1"/>
  <c r="B9"/>
  <c r="E9" s="1"/>
  <c r="AR13" i="2"/>
  <c r="B14" i="13"/>
  <c r="E14" s="1"/>
  <c r="AR14" i="2"/>
  <c r="B15" i="13"/>
  <c r="E15" s="1"/>
  <c r="AR8" i="2"/>
  <c r="A9" i="13"/>
  <c r="C9" s="1"/>
  <c r="AR34" i="2"/>
  <c r="A35" i="13"/>
  <c r="C35" s="1"/>
  <c r="B30"/>
  <c r="E30" s="1"/>
  <c r="AR21" i="2"/>
  <c r="A22" i="13"/>
  <c r="C22" s="1"/>
  <c r="AR15" i="2"/>
  <c r="B16" i="13"/>
  <c r="E16" s="1"/>
  <c r="AR7" i="2"/>
  <c r="A8" i="13"/>
  <c r="C8" s="1"/>
  <c r="AR35" i="2"/>
  <c r="B36" i="13"/>
  <c r="E36" s="1"/>
  <c r="AR20" i="2"/>
  <c r="A21" i="13"/>
  <c r="C21" s="1"/>
  <c r="AR29" i="2"/>
  <c r="A30" i="13"/>
  <c r="C30" s="1"/>
  <c r="B18"/>
  <c r="E18" s="1"/>
  <c r="B32"/>
  <c r="E32" s="1"/>
  <c r="AR3" i="2"/>
  <c r="B4" i="13"/>
  <c r="E4" s="1"/>
  <c r="A11"/>
  <c r="C11" s="1"/>
  <c r="A25"/>
  <c r="C25" s="1"/>
  <c r="A12"/>
  <c r="C12" s="1"/>
  <c r="AE4" i="2"/>
  <c r="B5" i="13"/>
  <c r="E5" s="1"/>
  <c r="AR33" i="2"/>
  <c r="A34" i="13"/>
  <c r="C34" s="1"/>
  <c r="B20"/>
  <c r="E20" s="1"/>
  <c r="AR24" i="2"/>
  <c r="B25" i="13"/>
  <c r="E25" s="1"/>
  <c r="AR25" i="2"/>
  <c r="B26" i="13"/>
  <c r="E26" s="1"/>
  <c r="AR19" i="2"/>
  <c r="A20" i="13"/>
  <c r="C20" s="1"/>
  <c r="AR10" i="2"/>
  <c r="B11" i="13"/>
  <c r="E11" s="1"/>
  <c r="B6"/>
  <c r="E6" s="1"/>
  <c r="A33"/>
  <c r="C33" s="1"/>
  <c r="AR11" i="2"/>
  <c r="B12" i="13"/>
  <c r="E12" s="1"/>
  <c r="AR31" i="2"/>
  <c r="A32" i="13"/>
  <c r="C32" s="1"/>
  <c r="AR5" i="2"/>
  <c r="A6" i="13"/>
  <c r="C6" s="1"/>
  <c r="B27"/>
  <c r="E27" s="1"/>
  <c r="AC18" i="2"/>
  <c r="AR18"/>
  <c r="A19" i="13"/>
  <c r="C19" s="1"/>
  <c r="AR12" i="2"/>
  <c r="B13" i="13"/>
  <c r="E13" s="1"/>
  <c r="AR4" i="2"/>
  <c r="A5" i="13"/>
  <c r="C5" s="1"/>
  <c r="AR32" i="2"/>
  <c r="B33" i="13"/>
  <c r="E33" s="1"/>
  <c r="AR17" i="2"/>
  <c r="A18" i="13"/>
  <c r="C18" s="1"/>
  <c r="AR26" i="2"/>
  <c r="A27" i="13"/>
  <c r="C27" s="1"/>
  <c r="Y4" i="12"/>
  <c r="AE33" i="2"/>
  <c r="AE35" i="17"/>
  <c r="AE27"/>
  <c r="AE15"/>
  <c r="I10" i="15"/>
  <c r="R10" s="1"/>
  <c r="P6"/>
  <c r="R4"/>
  <c r="D8"/>
  <c r="S28"/>
  <c r="P28"/>
  <c r="F6"/>
  <c r="R6" s="1"/>
  <c r="P4"/>
  <c r="S4"/>
  <c r="S16"/>
  <c r="P16"/>
  <c r="F30"/>
  <c r="P24"/>
  <c r="R28"/>
  <c r="J30"/>
  <c r="P30" s="1"/>
  <c r="P20"/>
  <c r="S20"/>
  <c r="G18"/>
  <c r="S18" s="1"/>
  <c r="R16"/>
  <c r="R24"/>
  <c r="S24"/>
  <c r="D26"/>
  <c r="S10" i="12"/>
  <c r="AC11" i="2"/>
  <c r="S30" i="12"/>
  <c r="Q15"/>
  <c r="Q26"/>
  <c r="AE35" i="2"/>
  <c r="N4" i="12"/>
  <c r="Q19" i="2"/>
  <c r="P10" i="15"/>
  <c r="S34"/>
  <c r="S15" i="12"/>
  <c r="AE24" i="2"/>
  <c r="Q10" i="12"/>
  <c r="M10" i="16"/>
  <c r="P21"/>
  <c r="N6"/>
  <c r="AC17" i="17"/>
  <c r="AE33"/>
  <c r="J10" i="2"/>
  <c r="P21"/>
  <c r="H8" i="16"/>
  <c r="M21" i="2"/>
  <c r="V27"/>
  <c r="M19" i="16"/>
  <c r="G23"/>
  <c r="Q10" i="2"/>
  <c r="P29"/>
  <c r="M25"/>
  <c r="AC27"/>
  <c r="AE34"/>
  <c r="AC14" i="16"/>
  <c r="AC5"/>
  <c r="AE29"/>
  <c r="W38" i="15"/>
  <c r="AE22" i="16"/>
  <c r="AC36"/>
  <c r="W28" i="15"/>
  <c r="Q8" i="2"/>
  <c r="M12"/>
  <c r="Q29" i="16"/>
  <c r="V27"/>
  <c r="S38" i="15"/>
  <c r="R34"/>
  <c r="R18"/>
  <c r="P4" i="12"/>
  <c r="S4" s="1"/>
  <c r="G19"/>
  <c r="S19" s="1"/>
  <c r="G32"/>
  <c r="S32" s="1"/>
  <c r="N6"/>
  <c r="Q6" s="1"/>
  <c r="K4"/>
  <c r="T19" i="2"/>
  <c r="T6" i="16"/>
  <c r="N14"/>
  <c r="Q28" i="12"/>
  <c r="E30"/>
  <c r="Q30" s="1"/>
  <c r="M26"/>
  <c r="S26" s="1"/>
  <c r="AC31" i="2"/>
  <c r="R8" i="15"/>
  <c r="M6" i="12"/>
  <c r="R14" i="15"/>
  <c r="P38"/>
  <c r="S14"/>
  <c r="Q23" i="16"/>
  <c r="K10"/>
  <c r="AE24"/>
  <c r="AE8" i="17"/>
  <c r="AC25" i="2"/>
  <c r="AC4"/>
  <c r="AC12"/>
  <c r="AC35" i="17"/>
  <c r="AC15" i="16"/>
  <c r="AC35" i="2"/>
  <c r="AE28" i="17"/>
  <c r="AC3" i="2"/>
  <c r="AE10" i="17"/>
  <c r="AC31" i="16"/>
  <c r="AC6"/>
  <c r="AC22" i="17"/>
  <c r="AE11" i="2"/>
  <c r="AE24" i="17"/>
  <c r="AC13"/>
  <c r="Y7" i="12"/>
  <c r="W8" i="15"/>
  <c r="Y37"/>
  <c r="AC29" i="16"/>
  <c r="AC32"/>
  <c r="Y16" i="15"/>
  <c r="AC26" i="16"/>
  <c r="Y26" i="15"/>
  <c r="AC19" i="16"/>
  <c r="Y25" i="15"/>
  <c r="AC20" i="16"/>
  <c r="AC10"/>
  <c r="AE3"/>
  <c r="AC11" i="17"/>
  <c r="AE4"/>
  <c r="AC3"/>
  <c r="AE26" i="2"/>
  <c r="AE15"/>
  <c r="Y14" i="12"/>
  <c r="Y6" i="15"/>
  <c r="W25"/>
  <c r="AE25" i="17"/>
  <c r="AC33"/>
  <c r="AC36"/>
  <c r="AE35" i="16"/>
  <c r="AC24"/>
  <c r="AE17"/>
  <c r="AE15"/>
  <c r="AC32" i="17"/>
  <c r="AC13" i="2"/>
  <c r="W3" i="12"/>
  <c r="AC7" i="2"/>
  <c r="W9" i="15"/>
  <c r="AE22" i="17"/>
  <c r="AE6" i="2"/>
  <c r="W18" i="15"/>
  <c r="AE13" i="16"/>
  <c r="AC17"/>
  <c r="AC29" i="2"/>
  <c r="Y8" i="15"/>
  <c r="AE12" i="17"/>
  <c r="AC19"/>
  <c r="W15" i="15"/>
  <c r="W17"/>
  <c r="AC14" i="17"/>
  <c r="AE26" i="16"/>
  <c r="AC13"/>
  <c r="Y26" i="12"/>
  <c r="AE20" i="16"/>
  <c r="W19" i="15"/>
  <c r="AC4" i="17"/>
  <c r="AC18"/>
  <c r="AC5"/>
  <c r="W24" i="15"/>
  <c r="AE34" i="16"/>
  <c r="AC22" i="2"/>
  <c r="W4" i="12"/>
  <c r="W39" i="15"/>
  <c r="AC26" i="17"/>
  <c r="AC18" i="16"/>
  <c r="AE28"/>
  <c r="AC6" i="2"/>
  <c r="AE4" i="16"/>
  <c r="AC11"/>
  <c r="AE19"/>
  <c r="AE11" i="17"/>
  <c r="W17" i="12"/>
  <c r="AC32" i="2"/>
  <c r="Y35" i="15"/>
  <c r="AC22" i="16"/>
  <c r="AE28" i="2"/>
  <c r="AE13"/>
  <c r="AC35" i="16"/>
  <c r="AE26" i="17"/>
  <c r="W26" i="15"/>
  <c r="AE3" i="17"/>
  <c r="Y9" i="15"/>
  <c r="AE25" i="16"/>
  <c r="AE14" i="17"/>
  <c r="AE29"/>
  <c r="Y38" i="15"/>
  <c r="AE3" i="2"/>
  <c r="AE31" i="17"/>
  <c r="W28" i="12"/>
  <c r="AC28" i="17"/>
  <c r="AC36" i="2"/>
  <c r="AE5"/>
  <c r="AE12"/>
  <c r="AE7"/>
  <c r="AC34"/>
  <c r="AC28"/>
  <c r="W6" i="15"/>
  <c r="Y18"/>
  <c r="Y24"/>
  <c r="Y34"/>
  <c r="AC24" i="17"/>
  <c r="AC6"/>
  <c r="AC8"/>
  <c r="AE33" i="16"/>
  <c r="AE10"/>
  <c r="AE21" i="2"/>
  <c r="AE14" i="16"/>
  <c r="AE12"/>
  <c r="AE21"/>
  <c r="AC4"/>
  <c r="AC12"/>
  <c r="AC20" i="17"/>
  <c r="AC7"/>
  <c r="AE36" i="16"/>
  <c r="W4" i="15"/>
  <c r="AE20" i="17"/>
  <c r="Y15" i="12"/>
  <c r="Y39" i="15"/>
  <c r="AE21" i="17"/>
  <c r="AE22" i="2"/>
  <c r="AC8"/>
  <c r="AE10"/>
  <c r="AE31"/>
  <c r="AC17"/>
  <c r="AE32"/>
  <c r="Y14" i="15"/>
  <c r="AC15" i="17"/>
  <c r="AC14" i="2"/>
  <c r="W29" i="12"/>
  <c r="Y19" i="15"/>
  <c r="Y29"/>
  <c r="W34"/>
  <c r="AE18" i="16"/>
  <c r="AC27"/>
  <c r="AE18" i="17"/>
  <c r="AC27"/>
  <c r="AE27" i="16"/>
  <c r="AE36" i="2"/>
  <c r="AC25" i="16"/>
  <c r="AC34" i="17"/>
  <c r="AC10" i="2"/>
  <c r="AC10" i="17"/>
  <c r="AE17" i="2"/>
  <c r="AE34" i="17"/>
  <c r="AC25"/>
  <c r="AE29" i="2"/>
  <c r="AC19"/>
  <c r="AC21" i="16"/>
  <c r="AC21" i="2"/>
  <c r="AC8" i="16"/>
  <c r="AX29" i="2" a="1"/>
  <c r="AY10" a="1"/>
  <c r="AX12" i="16" a="1"/>
  <c r="AY25" a="1"/>
  <c r="AY4" a="1"/>
  <c r="AX29" a="1"/>
  <c r="AX10" i="2" a="1"/>
  <c r="AX25" i="16" a="1"/>
  <c r="AY19" a="1"/>
  <c r="AX21" i="2" a="1"/>
  <c r="AX6" a="1"/>
  <c r="AX27" i="16" a="1"/>
  <c r="AX6" a="1"/>
  <c r="AY23" i="2" a="1"/>
  <c r="AY8" a="1"/>
  <c r="AY27" i="16" a="1"/>
  <c r="AX8" a="1"/>
  <c r="AY27" i="2" a="1"/>
  <c r="AY8" i="16" a="1"/>
  <c r="AX10" a="1"/>
  <c r="AX25" i="2" a="1"/>
  <c r="AX4" i="16" a="1"/>
  <c r="AY10" a="1"/>
  <c r="AY14" a="1"/>
  <c r="AY6" a="1"/>
  <c r="AX23" i="2" a="1"/>
  <c r="AX14" i="16" a="1"/>
  <c r="AY21" i="2" a="1"/>
  <c r="AX12" a="1"/>
  <c r="AY4" a="1"/>
  <c r="AX8" a="1"/>
  <c r="AY21" i="16" a="1"/>
  <c r="AX21" a="1"/>
  <c r="AX14" i="2" a="1"/>
  <c r="AX23" i="16" a="1"/>
  <c r="AY29" i="2" a="1"/>
  <c r="AY14" a="1"/>
  <c r="AY29" i="16" a="1"/>
  <c r="AY25" i="2" a="1"/>
  <c r="AX27" a="1"/>
  <c r="AY6" a="1"/>
  <c r="AX19" i="16" a="1"/>
  <c r="AY12" a="1"/>
  <c r="AY12" i="2" a="1"/>
  <c r="AX4" a="1"/>
  <c r="AY19" a="1"/>
  <c r="AX19" a="1"/>
  <c r="AY23" i="16" a="1"/>
  <c r="N21" l="1"/>
  <c r="G27"/>
  <c r="T8"/>
  <c r="K14"/>
  <c r="K29" i="2"/>
  <c r="J23" i="16"/>
  <c r="E27" i="2"/>
  <c r="P4" i="16"/>
  <c r="G10"/>
  <c r="Y10" s="1"/>
  <c r="T27"/>
  <c r="G25" i="2"/>
  <c r="J8"/>
  <c r="V12"/>
  <c r="Y12" s="1"/>
  <c r="T12"/>
  <c r="P27" i="16"/>
  <c r="N27"/>
  <c r="G10" i="2"/>
  <c r="V6" i="16"/>
  <c r="E8"/>
  <c r="Q25" i="2"/>
  <c r="J19" i="16"/>
  <c r="V25"/>
  <c r="T25"/>
  <c r="W25" s="1"/>
  <c r="J19" i="2"/>
  <c r="N14"/>
  <c r="T10"/>
  <c r="S8"/>
  <c r="V19" i="16"/>
  <c r="G29"/>
  <c r="S6"/>
  <c r="Y6" s="1"/>
  <c r="P8" i="2"/>
  <c r="H12"/>
  <c r="H27" i="16"/>
  <c r="J4" i="2"/>
  <c r="P6"/>
  <c r="J23"/>
  <c r="T23"/>
  <c r="S19" i="16"/>
  <c r="H19"/>
  <c r="S10" i="2"/>
  <c r="P23" i="16"/>
  <c r="W19"/>
  <c r="S10"/>
  <c r="J8"/>
  <c r="G23" i="2"/>
  <c r="M19"/>
  <c r="AY19" i="16"/>
  <c r="AY25"/>
  <c r="AY21"/>
  <c r="AY29"/>
  <c r="AY14"/>
  <c r="AY27"/>
  <c r="AY6"/>
  <c r="AY10"/>
  <c r="AY12"/>
  <c r="AY8"/>
  <c r="AY23"/>
  <c r="AX29"/>
  <c r="AX10"/>
  <c r="AX6"/>
  <c r="AX8"/>
  <c r="AX21"/>
  <c r="AX25"/>
  <c r="AX23"/>
  <c r="AX12"/>
  <c r="AX14"/>
  <c r="AX19"/>
  <c r="AX27"/>
  <c r="AX4"/>
  <c r="AY4"/>
  <c r="G14"/>
  <c r="Y14" s="1"/>
  <c r="N8" i="2"/>
  <c r="V4"/>
  <c r="G14"/>
  <c r="Y14" s="1"/>
  <c r="G8"/>
  <c r="M4"/>
  <c r="E14" i="16"/>
  <c r="AY29" i="2"/>
  <c r="AY4"/>
  <c r="AY19"/>
  <c r="AY14"/>
  <c r="AY23"/>
  <c r="AY12"/>
  <c r="AY21"/>
  <c r="AY8"/>
  <c r="AY27"/>
  <c r="AY25"/>
  <c r="AY10"/>
  <c r="AY6"/>
  <c r="AX14"/>
  <c r="AX23"/>
  <c r="AX27"/>
  <c r="AX8"/>
  <c r="AX21"/>
  <c r="AX4"/>
  <c r="AX12"/>
  <c r="AX6"/>
  <c r="AX25"/>
  <c r="AX10"/>
  <c r="AX19"/>
  <c r="AX29"/>
  <c r="V21"/>
  <c r="S23"/>
  <c r="E29"/>
  <c r="N27"/>
  <c r="K25"/>
  <c r="J25"/>
  <c r="T27"/>
  <c r="N29"/>
  <c r="H19"/>
  <c r="W19" s="1"/>
  <c r="T8"/>
  <c r="S4"/>
  <c r="Q6"/>
  <c r="G12"/>
  <c r="E10"/>
  <c r="W10" s="1"/>
  <c r="T12" i="16"/>
  <c r="W12" s="1"/>
  <c r="K29"/>
  <c r="H4"/>
  <c r="P19"/>
  <c r="M25"/>
  <c r="G12"/>
  <c r="J4"/>
  <c r="T23"/>
  <c r="W23" s="1"/>
  <c r="P12"/>
  <c r="T21"/>
  <c r="Q14"/>
  <c r="Y29"/>
  <c r="J27" i="2"/>
  <c r="Y27" s="1"/>
  <c r="S21"/>
  <c r="T6"/>
  <c r="S23" i="16"/>
  <c r="S8"/>
  <c r="K4"/>
  <c r="T10"/>
  <c r="H10"/>
  <c r="S6" i="12"/>
  <c r="S21"/>
  <c r="Q6" i="16"/>
  <c r="W6" s="1"/>
  <c r="V6" i="2"/>
  <c r="H29" i="16"/>
  <c r="G25"/>
  <c r="P19" i="2"/>
  <c r="Q21" i="16"/>
  <c r="K14" i="2"/>
  <c r="T21"/>
  <c r="W21" s="1"/>
  <c r="H4"/>
  <c r="W4" s="1"/>
  <c r="Y29"/>
  <c r="M6"/>
  <c r="Q23"/>
  <c r="M21" i="16"/>
  <c r="S4"/>
  <c r="AR23" i="32"/>
  <c r="AR9"/>
  <c r="AR16"/>
  <c r="AR30"/>
  <c r="AR21"/>
  <c r="AR14"/>
  <c r="AR28"/>
  <c r="AR36"/>
  <c r="AR19"/>
  <c r="AR34"/>
  <c r="AR31"/>
  <c r="AR5"/>
  <c r="AR18"/>
  <c r="AR15"/>
  <c r="AR17"/>
  <c r="AR3"/>
  <c r="AR29"/>
  <c r="AR20"/>
  <c r="AR7"/>
  <c r="AR25"/>
  <c r="AR33"/>
  <c r="AR6"/>
  <c r="AR22"/>
  <c r="AR11"/>
  <c r="AR12"/>
  <c r="AR26"/>
  <c r="AR8"/>
  <c r="AR35"/>
  <c r="AR10"/>
  <c r="AR32"/>
  <c r="AR4"/>
  <c r="AR24"/>
  <c r="AR27"/>
  <c r="AR13"/>
  <c r="P18" i="15"/>
  <c r="Q4" i="12"/>
  <c r="S10" i="15"/>
  <c r="W8" i="16"/>
  <c r="Z29"/>
  <c r="W4"/>
  <c r="AR5" i="17"/>
  <c r="AR4"/>
  <c r="AR36"/>
  <c r="AR22"/>
  <c r="AR32"/>
  <c r="AR19"/>
  <c r="AR3"/>
  <c r="AR14"/>
  <c r="AR20"/>
  <c r="AR11"/>
  <c r="AR21"/>
  <c r="AR35"/>
  <c r="AR31"/>
  <c r="AR18"/>
  <c r="AR17"/>
  <c r="AR13"/>
  <c r="AR34"/>
  <c r="AR27"/>
  <c r="AR12"/>
  <c r="AR29"/>
  <c r="AR15"/>
  <c r="AR28"/>
  <c r="AR23"/>
  <c r="AR16"/>
  <c r="AR9"/>
  <c r="AR30"/>
  <c r="AR10"/>
  <c r="AR33"/>
  <c r="AR24"/>
  <c r="AR7"/>
  <c r="AR26"/>
  <c r="AR6"/>
  <c r="AR25"/>
  <c r="AR8"/>
  <c r="R30" i="15"/>
  <c r="S30"/>
  <c r="P8"/>
  <c r="S8"/>
  <c r="S26"/>
  <c r="P26"/>
  <c r="S6"/>
  <c r="Y27" i="16"/>
  <c r="Y10" i="2"/>
  <c r="W12"/>
  <c r="W27" i="16" l="1"/>
  <c r="Z8"/>
  <c r="W25" i="2"/>
  <c r="Y19" i="16"/>
  <c r="Y8" i="2"/>
  <c r="Z12"/>
  <c r="Z27" i="16"/>
  <c r="W21"/>
  <c r="Y23"/>
  <c r="W23" i="2"/>
  <c r="Z10"/>
  <c r="Y23"/>
  <c r="W6"/>
  <c r="Z21" i="16"/>
  <c r="Y8"/>
  <c r="W29" i="2"/>
  <c r="Y19"/>
  <c r="W8"/>
  <c r="AZ19" i="16"/>
  <c r="Z12"/>
  <c r="Z19"/>
  <c r="AZ29"/>
  <c r="Z23" i="2"/>
  <c r="Y12" i="16"/>
  <c r="AZ10"/>
  <c r="Z10"/>
  <c r="Y21"/>
  <c r="Z25"/>
  <c r="W29"/>
  <c r="Z14"/>
  <c r="AZ6"/>
  <c r="W27" i="2"/>
  <c r="AZ27" i="16"/>
  <c r="Z25" i="2"/>
  <c r="AZ8" i="16"/>
  <c r="Z27" i="2"/>
  <c r="Y25"/>
  <c r="AZ21" i="16"/>
  <c r="Y4" i="2"/>
  <c r="Z8"/>
  <c r="Y4" i="16"/>
  <c r="W10"/>
  <c r="Z4"/>
  <c r="Z6"/>
  <c r="AZ4"/>
  <c r="W14"/>
  <c r="AZ14"/>
  <c r="AZ12"/>
  <c r="AZ23"/>
  <c r="AZ25"/>
  <c r="Z29" i="2"/>
  <c r="Y21"/>
  <c r="AZ27"/>
  <c r="AZ19"/>
  <c r="AZ10"/>
  <c r="AZ25"/>
  <c r="Z14"/>
  <c r="AZ6"/>
  <c r="AZ4"/>
  <c r="AZ29"/>
  <c r="AZ12"/>
  <c r="W14"/>
  <c r="AZ21"/>
  <c r="AZ8"/>
  <c r="Y6"/>
  <c r="AZ23"/>
  <c r="AZ14"/>
  <c r="Z23" i="16"/>
  <c r="Y25"/>
  <c r="Z19" i="2"/>
  <c r="Z21"/>
  <c r="Z6"/>
  <c r="Z4"/>
  <c r="AI13" i="32"/>
  <c r="AG13"/>
  <c r="AJ13"/>
  <c r="AH13"/>
  <c r="AF13"/>
  <c r="AJ24"/>
  <c r="AG24"/>
  <c r="AH24"/>
  <c r="AI24"/>
  <c r="AF24"/>
  <c r="AI3"/>
  <c r="AJ3"/>
  <c r="AI4"/>
  <c r="AJ4"/>
  <c r="AJ17"/>
  <c r="AJ32"/>
  <c r="AI32"/>
  <c r="AF15"/>
  <c r="AJ15"/>
  <c r="AG15"/>
  <c r="AI15"/>
  <c r="AH15"/>
  <c r="AJ10"/>
  <c r="AF10"/>
  <c r="AG10"/>
  <c r="AH10"/>
  <c r="AI10"/>
  <c r="AJ18"/>
  <c r="AG18"/>
  <c r="AI18"/>
  <c r="AF18"/>
  <c r="AH18"/>
  <c r="AJ35"/>
  <c r="AI35"/>
  <c r="AJ8"/>
  <c r="AI8"/>
  <c r="AJ31"/>
  <c r="AJ26"/>
  <c r="AH26"/>
  <c r="AG26"/>
  <c r="AF26"/>
  <c r="AI26"/>
  <c r="AJ34"/>
  <c r="AI34"/>
  <c r="AG12"/>
  <c r="AI12"/>
  <c r="AF12"/>
  <c r="AH12"/>
  <c r="AJ12"/>
  <c r="AF19"/>
  <c r="AH19"/>
  <c r="AG19"/>
  <c r="AJ19"/>
  <c r="AI19"/>
  <c r="AI36"/>
  <c r="AJ36"/>
  <c r="AH22"/>
  <c r="AI22"/>
  <c r="AG22"/>
  <c r="AF22"/>
  <c r="AJ22"/>
  <c r="AI14"/>
  <c r="AJ14"/>
  <c r="AJ33"/>
  <c r="AJ21"/>
  <c r="AG21"/>
  <c r="AF21"/>
  <c r="AH21"/>
  <c r="AI21"/>
  <c r="AJ25"/>
  <c r="AI7"/>
  <c r="AJ7"/>
  <c r="AJ20"/>
  <c r="AI20"/>
  <c r="AI27"/>
  <c r="AJ27"/>
  <c r="AH27"/>
  <c r="AG27"/>
  <c r="AF27"/>
  <c r="AJ29"/>
  <c r="AI29"/>
  <c r="AH29"/>
  <c r="AG29"/>
  <c r="AF29"/>
  <c r="AF24" i="17"/>
  <c r="AH24"/>
  <c r="AI24"/>
  <c r="AG24"/>
  <c r="AJ24"/>
  <c r="AJ31"/>
  <c r="AJ20"/>
  <c r="AI20"/>
  <c r="AJ17"/>
  <c r="AI17"/>
  <c r="AJ28"/>
  <c r="AJ32"/>
  <c r="AG29"/>
  <c r="AF29"/>
  <c r="AH29"/>
  <c r="AJ29"/>
  <c r="AI29"/>
  <c r="AJ36"/>
  <c r="AG27"/>
  <c r="AJ27"/>
  <c r="AH27"/>
  <c r="AI27"/>
  <c r="AF27"/>
  <c r="AJ25"/>
  <c r="AI7"/>
  <c r="AJ7"/>
  <c r="AH18"/>
  <c r="AI18"/>
  <c r="AJ18"/>
  <c r="AF18"/>
  <c r="AG18"/>
  <c r="AJ6"/>
  <c r="AI6"/>
  <c r="AF10"/>
  <c r="AG10"/>
  <c r="AJ10"/>
  <c r="AH10"/>
  <c r="AI10"/>
  <c r="AI21"/>
  <c r="AF21"/>
  <c r="AH21"/>
  <c r="AG21"/>
  <c r="AJ21"/>
  <c r="AF13"/>
  <c r="AG13"/>
  <c r="AH13"/>
  <c r="AI13"/>
  <c r="AJ13"/>
  <c r="AI11"/>
  <c r="AJ11"/>
  <c r="AI14"/>
  <c r="AJ14"/>
  <c r="AJ3"/>
  <c r="AI3"/>
  <c r="AF19"/>
  <c r="AG19"/>
  <c r="AH19"/>
  <c r="AI19"/>
  <c r="AJ19"/>
  <c r="AI15"/>
  <c r="AJ15"/>
  <c r="AF15"/>
  <c r="AG15"/>
  <c r="AH15"/>
  <c r="AI22"/>
  <c r="AF22"/>
  <c r="AJ22"/>
  <c r="AH22"/>
  <c r="AG22"/>
  <c r="AJ12"/>
  <c r="AF12"/>
  <c r="AI12"/>
  <c r="AG12"/>
  <c r="AH12"/>
  <c r="AI4"/>
  <c r="AJ4"/>
  <c r="AH26"/>
  <c r="AI26"/>
  <c r="AJ26"/>
  <c r="AG26"/>
  <c r="AF26"/>
  <c r="AV31" i="32" l="1"/>
  <c r="AU31"/>
  <c r="AV35"/>
  <c r="AU35"/>
  <c r="AV4"/>
  <c r="AU4"/>
  <c r="AV14"/>
  <c r="AU14"/>
  <c r="AU15"/>
  <c r="AV15"/>
  <c r="AV36"/>
  <c r="AU36"/>
  <c r="AV12"/>
  <c r="AU12"/>
  <c r="AU3"/>
  <c r="AV3"/>
  <c r="AV21"/>
  <c r="AU21"/>
  <c r="AV32"/>
  <c r="AU32"/>
  <c r="AV25"/>
  <c r="AU25"/>
  <c r="AV6"/>
  <c r="AU6"/>
  <c r="AV11"/>
  <c r="AU11"/>
  <c r="AV20"/>
  <c r="AU20"/>
  <c r="AV8"/>
  <c r="AU8"/>
  <c r="AV33"/>
  <c r="AU33"/>
  <c r="AV7"/>
  <c r="AU7"/>
  <c r="AV28"/>
  <c r="AU28"/>
  <c r="AV34"/>
  <c r="AU34"/>
  <c r="AV5"/>
  <c r="AU5"/>
  <c r="AV17"/>
  <c r="AU17"/>
  <c r="AV29"/>
  <c r="AU29"/>
  <c r="AV26"/>
  <c r="AU26"/>
  <c r="AV27"/>
  <c r="AU27"/>
  <c r="AU13"/>
  <c r="AV13"/>
  <c r="AV22"/>
  <c r="AU22"/>
  <c r="AV24"/>
  <c r="AU24"/>
  <c r="AV10"/>
  <c r="AU10"/>
  <c r="AU19"/>
  <c r="AV19"/>
  <c r="AU18"/>
  <c r="AV18"/>
  <c r="AV34" i="17"/>
  <c r="AU34"/>
  <c r="AV6"/>
  <c r="AU6"/>
  <c r="AV13"/>
  <c r="AU13"/>
  <c r="AV20"/>
  <c r="AU20"/>
  <c r="AV27"/>
  <c r="AU27"/>
  <c r="AU28"/>
  <c r="AV28"/>
  <c r="AV22"/>
  <c r="AU22"/>
  <c r="AU8"/>
  <c r="AV8"/>
  <c r="AV35"/>
  <c r="AU35"/>
  <c r="AU36"/>
  <c r="AV36"/>
  <c r="AV17"/>
  <c r="AU14"/>
  <c r="AV14"/>
  <c r="AU7"/>
  <c r="AV7"/>
  <c r="AU10"/>
  <c r="AV10"/>
  <c r="AV31"/>
  <c r="AU31"/>
  <c r="AV24"/>
  <c r="AU24"/>
  <c r="AU3"/>
  <c r="AV3"/>
  <c r="AU17"/>
  <c r="AV25"/>
  <c r="AU25"/>
  <c r="AU19"/>
  <c r="AV19"/>
  <c r="AV5"/>
  <c r="AU5"/>
  <c r="AU32"/>
  <c r="AV32"/>
  <c r="AV33"/>
  <c r="AU33"/>
  <c r="AU11"/>
  <c r="AV11"/>
  <c r="AV4"/>
  <c r="AU4"/>
  <c r="AU29"/>
  <c r="AV29"/>
  <c r="AV15"/>
  <c r="AU15"/>
  <c r="AV21"/>
  <c r="AU21"/>
  <c r="AV12"/>
  <c r="AU12"/>
  <c r="AV26"/>
  <c r="AU26"/>
  <c r="AV18"/>
  <c r="AU18"/>
  <c r="AK35" i="32"/>
  <c r="H25" s="1"/>
  <c r="AM10"/>
  <c r="T10" s="1"/>
  <c r="AK6"/>
  <c r="AM6"/>
  <c r="AK20"/>
  <c r="AM20"/>
  <c r="AK34"/>
  <c r="AM34"/>
  <c r="AM13"/>
  <c r="AK13"/>
  <c r="AK27"/>
  <c r="AM27"/>
  <c r="AK10"/>
  <c r="V10" s="1"/>
  <c r="AM4"/>
  <c r="AK4"/>
  <c r="AM14"/>
  <c r="AK14"/>
  <c r="AM35"/>
  <c r="AK15"/>
  <c r="AM15"/>
  <c r="AK36"/>
  <c r="AM36"/>
  <c r="AM12"/>
  <c r="AK12"/>
  <c r="AM3"/>
  <c r="AK3"/>
  <c r="AK18"/>
  <c r="AM18"/>
  <c r="AK21"/>
  <c r="AM21"/>
  <c r="AM32"/>
  <c r="AK32"/>
  <c r="AK11"/>
  <c r="AM11"/>
  <c r="AM24"/>
  <c r="AK24"/>
  <c r="AK8"/>
  <c r="AM8"/>
  <c r="AK33"/>
  <c r="AM33"/>
  <c r="AK7"/>
  <c r="AM28"/>
  <c r="AK28"/>
  <c r="AM5"/>
  <c r="AK5"/>
  <c r="AM17"/>
  <c r="AK17"/>
  <c r="AK29"/>
  <c r="AM29"/>
  <c r="AM7"/>
  <c r="AM26"/>
  <c r="AK26"/>
  <c r="AM22"/>
  <c r="AK22"/>
  <c r="AM25"/>
  <c r="AK25"/>
  <c r="AM19"/>
  <c r="AK19"/>
  <c r="AK31"/>
  <c r="AM31"/>
  <c r="AM14" i="17"/>
  <c r="M27" s="1"/>
  <c r="AK14"/>
  <c r="K27" s="1"/>
  <c r="AM21"/>
  <c r="G23" s="1"/>
  <c r="AK21"/>
  <c r="E23" s="1"/>
  <c r="AK27"/>
  <c r="V27" s="1"/>
  <c r="AM27"/>
  <c r="S29" s="1"/>
  <c r="AK15"/>
  <c r="G21" s="1"/>
  <c r="AM15"/>
  <c r="J19" s="1"/>
  <c r="AK7"/>
  <c r="Q21" s="1"/>
  <c r="AM7"/>
  <c r="S21" s="1"/>
  <c r="AM35"/>
  <c r="N21" s="1"/>
  <c r="AK35"/>
  <c r="P21" s="1"/>
  <c r="AM24"/>
  <c r="AK24"/>
  <c r="Q14" s="1"/>
  <c r="AK11"/>
  <c r="K12" s="1"/>
  <c r="AM11"/>
  <c r="Q8" s="1"/>
  <c r="AM28"/>
  <c r="E25" s="1"/>
  <c r="AK28"/>
  <c r="N19" s="1"/>
  <c r="AK4"/>
  <c r="Q6" s="1"/>
  <c r="AM4"/>
  <c r="S6" s="1"/>
  <c r="AM34"/>
  <c r="V23" s="1"/>
  <c r="AK34"/>
  <c r="M29" s="1"/>
  <c r="AM33"/>
  <c r="Q4" s="1"/>
  <c r="AK33"/>
  <c r="E12" s="1"/>
  <c r="AM6"/>
  <c r="V19" s="1"/>
  <c r="AK6"/>
  <c r="G29" s="1"/>
  <c r="AM36"/>
  <c r="G27" s="1"/>
  <c r="AK36"/>
  <c r="S19" s="1"/>
  <c r="AK12"/>
  <c r="G6" s="1"/>
  <c r="AM12"/>
  <c r="J4" s="1"/>
  <c r="AM3"/>
  <c r="V4" s="1"/>
  <c r="AK3"/>
  <c r="T4" s="1"/>
  <c r="AM17"/>
  <c r="H14" s="1"/>
  <c r="AK17"/>
  <c r="T6" s="1"/>
  <c r="AM8"/>
  <c r="P23" s="1"/>
  <c r="AK8"/>
  <c r="M25" s="1"/>
  <c r="AM31"/>
  <c r="K14" s="1"/>
  <c r="AK31"/>
  <c r="T8" s="1"/>
  <c r="AM13"/>
  <c r="P29" s="1"/>
  <c r="AK13"/>
  <c r="V25" s="1"/>
  <c r="AM26"/>
  <c r="H8" s="1"/>
  <c r="AK26"/>
  <c r="J8" s="1"/>
  <c r="AM22"/>
  <c r="N27" s="1"/>
  <c r="AK22"/>
  <c r="Q25" s="1"/>
  <c r="AM18"/>
  <c r="K4" s="1"/>
  <c r="AK18"/>
  <c r="M4" s="1"/>
  <c r="AM29"/>
  <c r="M21" s="1"/>
  <c r="AK29"/>
  <c r="K21" s="1"/>
  <c r="AM20"/>
  <c r="H29" s="1"/>
  <c r="AK20"/>
  <c r="J29" s="1"/>
  <c r="AM32"/>
  <c r="J10" s="1"/>
  <c r="AK32"/>
  <c r="H10" s="1"/>
  <c r="AK10"/>
  <c r="N14" s="1"/>
  <c r="AM10"/>
  <c r="P14" s="1"/>
  <c r="AK19"/>
  <c r="P12" s="1"/>
  <c r="AM19"/>
  <c r="N12" s="1"/>
  <c r="AM5"/>
  <c r="P8" s="1"/>
  <c r="AK5"/>
  <c r="M10" s="1"/>
  <c r="AM25"/>
  <c r="E10" s="1"/>
  <c r="AK25"/>
  <c r="N4" s="1"/>
  <c r="AT32" i="32"/>
  <c r="AT6" i="17"/>
  <c r="AX4" a="1"/>
  <c r="AX25" i="32" a="1"/>
  <c r="AT25" i="17"/>
  <c r="AT28"/>
  <c r="AT35"/>
  <c r="AX10" i="32" a="1"/>
  <c r="AX19" a="1"/>
  <c r="L72" i="29"/>
  <c r="AT3" i="32"/>
  <c r="AT33"/>
  <c r="AT11" i="17"/>
  <c r="AX19" a="1"/>
  <c r="AX29" a="1"/>
  <c r="AT5" i="32"/>
  <c r="AT17"/>
  <c r="AT34" i="17"/>
  <c r="AY23" i="32" a="1"/>
  <c r="AX8" i="17" a="1"/>
  <c r="AX27" a="1"/>
  <c r="L93" i="29"/>
  <c r="AX14" i="17" a="1"/>
  <c r="E100" i="33"/>
  <c r="AT7" i="32"/>
  <c r="AT34"/>
  <c r="L86" i="33" s="1"/>
  <c r="AT14" i="17"/>
  <c r="L51" i="29"/>
  <c r="L30"/>
  <c r="AT35" i="32"/>
  <c r="E65" i="33"/>
  <c r="AX12" i="17" a="1"/>
  <c r="AX6" i="32" a="1"/>
  <c r="AX12" a="1"/>
  <c r="AY21" i="17" a="1"/>
  <c r="E72" i="29"/>
  <c r="AT4" i="32"/>
  <c r="AT31"/>
  <c r="AT31" i="17"/>
  <c r="AX4" i="32" a="1"/>
  <c r="E23" i="29"/>
  <c r="L23" i="33"/>
  <c r="AY8" i="17" a="1"/>
  <c r="AY19" i="32" a="1"/>
  <c r="AY25" i="17" a="1"/>
  <c r="AT32"/>
  <c r="E93" i="29" s="1"/>
  <c r="E86" i="33"/>
  <c r="AY27" i="17" a="1"/>
  <c r="L93" i="33"/>
  <c r="E16"/>
  <c r="AT14" i="32"/>
  <c r="AT33" i="17"/>
  <c r="E100" i="29" s="1"/>
  <c r="AT7" i="17"/>
  <c r="AX25" a="1"/>
  <c r="AT8" i="32"/>
  <c r="AT28"/>
  <c r="AT20" i="17"/>
  <c r="E58" i="33"/>
  <c r="AX29" i="32" a="1"/>
  <c r="AX10" i="17" a="1"/>
  <c r="AY25" i="32" a="1"/>
  <c r="E86" i="29"/>
  <c r="AT17" i="17"/>
  <c r="AT11" i="32"/>
  <c r="AT3" i="17"/>
  <c r="AX14" i="32" a="1"/>
  <c r="AY10" i="17" a="1"/>
  <c r="AT36" i="32"/>
  <c r="AT20"/>
  <c r="L51" i="33"/>
  <c r="E79"/>
  <c r="E9"/>
  <c r="L65"/>
  <c r="AY12" i="32" a="1"/>
  <c r="AY4" i="17" a="1"/>
  <c r="AX23" a="1"/>
  <c r="AX23" i="32" a="1"/>
  <c r="L9" i="33"/>
  <c r="E37"/>
  <c r="AY14" i="17" a="1"/>
  <c r="E2" i="29"/>
  <c r="AY6" i="17" a="1"/>
  <c r="L44" i="29"/>
  <c r="AY23" i="17" a="1"/>
  <c r="AT5"/>
  <c r="AY10" i="32" a="1"/>
  <c r="AY14" a="1"/>
  <c r="AT4" i="17"/>
  <c r="E9" i="29" s="1"/>
  <c r="AY6" i="32" a="1"/>
  <c r="AT6"/>
  <c r="L2" i="33" s="1"/>
  <c r="AT25" i="32"/>
  <c r="AT36" i="17"/>
  <c r="L100" i="29" s="1"/>
  <c r="L79"/>
  <c r="AX21" i="17" a="1"/>
  <c r="E93" i="33"/>
  <c r="E44" i="29"/>
  <c r="E51" i="33"/>
  <c r="AY27" i="32" a="1"/>
  <c r="AX27" a="1"/>
  <c r="AX6" i="17" a="1"/>
  <c r="E2" i="33"/>
  <c r="AY29" i="17" a="1"/>
  <c r="L58" i="33"/>
  <c r="L30"/>
  <c r="AY19" i="17" a="1"/>
  <c r="E79" i="29"/>
  <c r="AY4" i="32" a="1"/>
  <c r="AY12" i="17" a="1"/>
  <c r="E37" i="29"/>
  <c r="L2"/>
  <c r="L16" i="33"/>
  <c r="AT8" i="17"/>
  <c r="E65" i="29"/>
  <c r="AY21" i="32" a="1"/>
  <c r="L37" i="33"/>
  <c r="AX8" i="32" a="1"/>
  <c r="L65" i="29"/>
  <c r="AY8" i="32" a="1"/>
  <c r="L72" i="33"/>
  <c r="L79"/>
  <c r="E58" i="29"/>
  <c r="AY29" i="32" a="1"/>
  <c r="AX21" a="1"/>
  <c r="L9" i="29"/>
  <c r="E16"/>
  <c r="AY23" i="32" l="1"/>
  <c r="AY21"/>
  <c r="AY27"/>
  <c r="AY19"/>
  <c r="AY12"/>
  <c r="AY14"/>
  <c r="AY10"/>
  <c r="AY6"/>
  <c r="AY25"/>
  <c r="AY29"/>
  <c r="AX6"/>
  <c r="AX29"/>
  <c r="AX27"/>
  <c r="AX25"/>
  <c r="AX23"/>
  <c r="AX21"/>
  <c r="AX19"/>
  <c r="AX12"/>
  <c r="AX14"/>
  <c r="AX10"/>
  <c r="AX4"/>
  <c r="AY8"/>
  <c r="AY4"/>
  <c r="AX8"/>
  <c r="AX29" i="17"/>
  <c r="AY29"/>
  <c r="AX25"/>
  <c r="AY25"/>
  <c r="AY27"/>
  <c r="AX27"/>
  <c r="AY14"/>
  <c r="AX14"/>
  <c r="AY10"/>
  <c r="AX10"/>
  <c r="AY12"/>
  <c r="AX12"/>
  <c r="AY21"/>
  <c r="AX21"/>
  <c r="AY19"/>
  <c r="AX23"/>
  <c r="AX19"/>
  <c r="AY23"/>
  <c r="AX6"/>
  <c r="AY6"/>
  <c r="AY4"/>
  <c r="AX8"/>
  <c r="AX4"/>
  <c r="AY8"/>
  <c r="P21" i="32"/>
  <c r="P14"/>
  <c r="N14"/>
  <c r="S29"/>
  <c r="T27"/>
  <c r="Q29"/>
  <c r="V27"/>
  <c r="V25"/>
  <c r="N29"/>
  <c r="P29"/>
  <c r="T25"/>
  <c r="K29"/>
  <c r="V23"/>
  <c r="T23"/>
  <c r="M29"/>
  <c r="H29"/>
  <c r="V21"/>
  <c r="J29"/>
  <c r="T21"/>
  <c r="E29"/>
  <c r="V19"/>
  <c r="G29"/>
  <c r="T19"/>
  <c r="J27"/>
  <c r="Q21"/>
  <c r="M4"/>
  <c r="E8"/>
  <c r="Q25"/>
  <c r="P27"/>
  <c r="T4"/>
  <c r="G14"/>
  <c r="S25"/>
  <c r="N27"/>
  <c r="V4"/>
  <c r="E14"/>
  <c r="Q4"/>
  <c r="G12"/>
  <c r="H4"/>
  <c r="G6"/>
  <c r="E12"/>
  <c r="S4"/>
  <c r="J4"/>
  <c r="E6"/>
  <c r="J8"/>
  <c r="K6"/>
  <c r="K25"/>
  <c r="P23"/>
  <c r="Q19"/>
  <c r="G27"/>
  <c r="P4"/>
  <c r="E10"/>
  <c r="H8"/>
  <c r="M6"/>
  <c r="M25"/>
  <c r="N23"/>
  <c r="E27"/>
  <c r="S19"/>
  <c r="S21"/>
  <c r="H27"/>
  <c r="Q14"/>
  <c r="V12"/>
  <c r="E21"/>
  <c r="J19"/>
  <c r="M21"/>
  <c r="H23"/>
  <c r="T12"/>
  <c r="S14"/>
  <c r="G21"/>
  <c r="H19"/>
  <c r="K21"/>
  <c r="J23"/>
  <c r="Q8"/>
  <c r="M12"/>
  <c r="J25"/>
  <c r="N21"/>
  <c r="J14"/>
  <c r="T6"/>
  <c r="S8"/>
  <c r="K12"/>
  <c r="S23"/>
  <c r="K27"/>
  <c r="H14"/>
  <c r="V6"/>
  <c r="P6"/>
  <c r="H10"/>
  <c r="M27"/>
  <c r="Q23"/>
  <c r="N8"/>
  <c r="M10"/>
  <c r="N6"/>
  <c r="J10"/>
  <c r="Q6"/>
  <c r="J12"/>
  <c r="K14"/>
  <c r="V8"/>
  <c r="P8"/>
  <c r="K10"/>
  <c r="G23"/>
  <c r="K19"/>
  <c r="H12"/>
  <c r="S6"/>
  <c r="T8"/>
  <c r="M14"/>
  <c r="N12"/>
  <c r="S10"/>
  <c r="N19"/>
  <c r="G25"/>
  <c r="E23"/>
  <c r="M19"/>
  <c r="P12"/>
  <c r="Q10"/>
  <c r="G10"/>
  <c r="N4"/>
  <c r="P19"/>
  <c r="E25"/>
  <c r="K4"/>
  <c r="G8"/>
  <c r="S14" i="17"/>
  <c r="K10"/>
  <c r="S25"/>
  <c r="S10"/>
  <c r="E27"/>
  <c r="P4"/>
  <c r="E21"/>
  <c r="S8"/>
  <c r="G12"/>
  <c r="K19"/>
  <c r="N8"/>
  <c r="K6"/>
  <c r="T25"/>
  <c r="H12"/>
  <c r="G14"/>
  <c r="S23"/>
  <c r="G8"/>
  <c r="P27"/>
  <c r="V10"/>
  <c r="T19"/>
  <c r="N6"/>
  <c r="M6"/>
  <c r="M19"/>
  <c r="Q23"/>
  <c r="H4"/>
  <c r="W4" s="1"/>
  <c r="T10"/>
  <c r="Q19"/>
  <c r="E14"/>
  <c r="W14" s="1"/>
  <c r="V21"/>
  <c r="Y21" s="1"/>
  <c r="Q10"/>
  <c r="T12"/>
  <c r="S4"/>
  <c r="E8"/>
  <c r="J23"/>
  <c r="E6"/>
  <c r="J12"/>
  <c r="T21"/>
  <c r="K29"/>
  <c r="V6"/>
  <c r="V8"/>
  <c r="J27"/>
  <c r="H19"/>
  <c r="N23"/>
  <c r="E29"/>
  <c r="J14"/>
  <c r="H23"/>
  <c r="K25"/>
  <c r="P6"/>
  <c r="T23"/>
  <c r="J25"/>
  <c r="G10"/>
  <c r="H25"/>
  <c r="H27"/>
  <c r="G25"/>
  <c r="M14"/>
  <c r="T27"/>
  <c r="M12"/>
  <c r="P19"/>
  <c r="Q29"/>
  <c r="V12"/>
  <c r="N29"/>
  <c r="Y29"/>
  <c r="L58" i="29"/>
  <c r="E30" i="33"/>
  <c r="L86" i="29"/>
  <c r="E51"/>
  <c r="Q2"/>
  <c r="L100" i="33"/>
  <c r="L37" i="29"/>
  <c r="L16"/>
  <c r="E44" i="33"/>
  <c r="E72"/>
  <c r="L44"/>
  <c r="E23"/>
  <c r="E30" i="29"/>
  <c r="L23"/>
  <c r="AZ27" i="32" l="1"/>
  <c r="AZ21"/>
  <c r="AZ25"/>
  <c r="AZ23"/>
  <c r="AZ6"/>
  <c r="AZ8"/>
  <c r="AZ27" i="17"/>
  <c r="AZ29" i="32"/>
  <c r="AZ12" i="17"/>
  <c r="AZ10" i="32"/>
  <c r="AZ14"/>
  <c r="AZ12"/>
  <c r="AZ19"/>
  <c r="AZ4"/>
  <c r="AZ21" i="17"/>
  <c r="AZ10"/>
  <c r="AZ25"/>
  <c r="AZ19"/>
  <c r="AZ29"/>
  <c r="AZ14"/>
  <c r="AZ4"/>
  <c r="AZ23"/>
  <c r="AZ6"/>
  <c r="AZ8"/>
  <c r="W29" i="32"/>
  <c r="Y29"/>
  <c r="Z25"/>
  <c r="W14"/>
  <c r="Y23"/>
  <c r="W23"/>
  <c r="Y6"/>
  <c r="Y25"/>
  <c r="W10"/>
  <c r="W12"/>
  <c r="Y21"/>
  <c r="Z29"/>
  <c r="Z10"/>
  <c r="Z14"/>
  <c r="W19"/>
  <c r="Z19"/>
  <c r="Y19"/>
  <c r="W8"/>
  <c r="W25"/>
  <c r="Y12"/>
  <c r="Y14"/>
  <c r="Y8"/>
  <c r="W27"/>
  <c r="Z6"/>
  <c r="W6"/>
  <c r="Z8"/>
  <c r="W4"/>
  <c r="Z4"/>
  <c r="Z23"/>
  <c r="Y4"/>
  <c r="W21"/>
  <c r="Z21"/>
  <c r="Y10"/>
  <c r="Z27"/>
  <c r="Z12"/>
  <c r="Y27"/>
  <c r="W12" i="17"/>
  <c r="W10"/>
  <c r="Y4"/>
  <c r="W21"/>
  <c r="W8"/>
  <c r="Z6"/>
  <c r="W6"/>
  <c r="Z23"/>
  <c r="Y23"/>
  <c r="Y27"/>
  <c r="Y19"/>
  <c r="Z25"/>
  <c r="Y8"/>
  <c r="Y25"/>
  <c r="W19"/>
  <c r="Z8"/>
  <c r="Z4"/>
  <c r="Z10"/>
  <c r="Z21"/>
  <c r="Y10"/>
  <c r="W25"/>
  <c r="Y6"/>
  <c r="Y14"/>
  <c r="W23"/>
  <c r="Z29"/>
  <c r="Z12"/>
  <c r="W27"/>
  <c r="Z27"/>
  <c r="Y12"/>
  <c r="W29"/>
  <c r="Z14"/>
  <c r="Z1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<sst xmlns="http://schemas.openxmlformats.org/spreadsheetml/2006/main" count="2079" uniqueCount="127">
  <si>
    <t>jméno</t>
  </si>
  <si>
    <t>oddíl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</si>
  <si>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</si>
  <si>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</si>
  <si>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</si>
  <si>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</si>
  <si>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</si>
  <si>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</si>
  <si>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</si>
  <si>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</si>
  <si>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1. kolo</t>
  </si>
  <si>
    <t>2. kolo</t>
  </si>
  <si>
    <t>3. kolo</t>
  </si>
  <si>
    <t>4. kolo</t>
  </si>
  <si>
    <t>5. kolo</t>
  </si>
  <si>
    <t>skupina D    (5-8)</t>
  </si>
  <si>
    <t>skupina C    (1-4)</t>
  </si>
  <si>
    <t>skupina E    (9-12)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</si>
  <si>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</si>
  <si>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</si>
  <si>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</si>
  <si>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</si>
  <si>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</si>
  <si>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</si>
  <si>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</si>
  <si>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</si>
  <si>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kolo</t>
  </si>
  <si>
    <t>datum</t>
  </si>
  <si>
    <t>čas</t>
  </si>
  <si>
    <t>stůl</t>
  </si>
  <si>
    <t>Vítěz:</t>
  </si>
  <si>
    <t>název turnaje:</t>
  </si>
  <si>
    <t>los</t>
  </si>
  <si>
    <t>1.</t>
  </si>
  <si>
    <t>3.</t>
  </si>
  <si>
    <t>2.</t>
  </si>
  <si>
    <t>4.</t>
  </si>
  <si>
    <t>skupina C</t>
  </si>
  <si>
    <t>skupina D</t>
  </si>
  <si>
    <t>skupina 1-6</t>
  </si>
  <si>
    <t>skupina 7-12</t>
  </si>
  <si>
    <t>Žebříčkový turnaj mladíšího žactva</t>
  </si>
  <si>
    <t>12.5.2018</t>
  </si>
  <si>
    <t>skupina</t>
  </si>
  <si>
    <t>Žebříčkový turnaj - mladší žákyně 12.5.2018</t>
  </si>
  <si>
    <t>Pořadí</t>
  </si>
  <si>
    <t>Kategorie</t>
  </si>
  <si>
    <t>MZI</t>
  </si>
  <si>
    <t>MZY</t>
  </si>
  <si>
    <t xml:space="preserve">Turnaj mládeže </t>
  </si>
  <si>
    <t>;</t>
  </si>
  <si>
    <t>St.č.</t>
  </si>
  <si>
    <t>Ráječko</t>
  </si>
  <si>
    <t>Míčky v zápase domácí hráč</t>
  </si>
  <si>
    <t>Podíl</t>
  </si>
  <si>
    <t>získal</t>
  </si>
  <si>
    <t>ztratil</t>
  </si>
  <si>
    <t>Rozhodčí</t>
  </si>
  <si>
    <t>Míčky pro hráče</t>
  </si>
  <si>
    <t>Žebříčkový turnaj - U11 M - I.stupeň</t>
  </si>
  <si>
    <t>Žebříčkový turnaj - U11 Ž - I.stupeň</t>
  </si>
  <si>
    <t>Žebříčkový turnaj - U11 M - II.stupeň</t>
  </si>
  <si>
    <t>Žebříčkový turnaj - U11 Ž - II.stupeň</t>
  </si>
  <si>
    <t>Voráč Pavel</t>
  </si>
  <si>
    <t>Peťura Patrik</t>
  </si>
  <si>
    <t>Šimon Samuel</t>
  </si>
  <si>
    <t>Kmenta Josef</t>
  </si>
  <si>
    <t>Omelka Marek</t>
  </si>
  <si>
    <t>Tomeček Richard</t>
  </si>
  <si>
    <t>Pantlík Daniel</t>
  </si>
  <si>
    <t>Látal Jan</t>
  </si>
  <si>
    <t>Spěvák Šimon</t>
  </si>
  <si>
    <t>Plotzer Robin</t>
  </si>
  <si>
    <t>Luhan Adam</t>
  </si>
  <si>
    <t>KST Blansko</t>
  </si>
  <si>
    <t>Jiskra Strážnice</t>
  </si>
  <si>
    <t>KST FOSFA LVA</t>
  </si>
  <si>
    <t>SKST Hodonín</t>
  </si>
  <si>
    <t>MK Řeznovice</t>
  </si>
  <si>
    <t>Sokol Brno I</t>
  </si>
  <si>
    <t>MSK Břeclav</t>
  </si>
  <si>
    <t>Solfronková Ema</t>
  </si>
  <si>
    <t>Pilitowská Ela</t>
  </si>
  <si>
    <t>Straková Adéla</t>
  </si>
  <si>
    <t>Klašková Alžběta</t>
  </si>
  <si>
    <t>Křepelová Kamila</t>
  </si>
  <si>
    <t>Hasoňová Jana</t>
  </si>
  <si>
    <t>Žilková Elen</t>
  </si>
  <si>
    <t>Maradová Eliška</t>
  </si>
  <si>
    <t>Krupková Klaudie</t>
  </si>
  <si>
    <t>Svobodová Kristýna</t>
  </si>
  <si>
    <t>Jonášová Kristýna</t>
  </si>
  <si>
    <t>Zouharová Beáta</t>
  </si>
  <si>
    <t>MS Brno</t>
  </si>
  <si>
    <t>Vlast Ježov</t>
  </si>
  <si>
    <t>STK Zbraslavec</t>
  </si>
  <si>
    <t>Prace</t>
  </si>
  <si>
    <t>Ides Samuel Hugo</t>
  </si>
  <si>
    <t>5</t>
  </si>
  <si>
    <t>7</t>
  </si>
  <si>
    <t>3</t>
  </si>
  <si>
    <t>8</t>
  </si>
  <si>
    <t>6</t>
  </si>
  <si>
    <t>4</t>
  </si>
  <si>
    <t>-4</t>
  </si>
  <si>
    <t>-9</t>
  </si>
  <si>
    <t>-3</t>
  </si>
  <si>
    <t>-10</t>
  </si>
  <si>
    <t>-8</t>
  </si>
  <si>
    <t>-5</t>
  </si>
  <si>
    <t>10</t>
  </si>
  <si>
    <t>2</t>
  </si>
  <si>
    <t>9</t>
  </si>
  <si>
    <t>-6</t>
  </si>
  <si>
    <t>14</t>
  </si>
  <si>
    <t>-11</t>
  </si>
  <si>
    <t>11</t>
  </si>
  <si>
    <t>-12</t>
  </si>
  <si>
    <t>1</t>
  </si>
  <si>
    <t>-7</t>
  </si>
  <si>
    <t>-13</t>
  </si>
  <si>
    <t>13</t>
  </si>
  <si>
    <t>Nehrát</t>
  </si>
  <si>
    <t>-1</t>
  </si>
  <si>
    <t>-2</t>
  </si>
  <si>
    <t>15</t>
  </si>
  <si>
    <t>-14</t>
  </si>
</sst>
</file>

<file path=xl/styles.xml><?xml version="1.0" encoding="utf-8"?>
<styleSheet xmlns="http://schemas.openxmlformats.org/spreadsheetml/2006/main">
  <fonts count="30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26"/>
      <name val="Arial CE"/>
      <charset val="238"/>
    </font>
    <font>
      <sz val="20"/>
      <name val="Arial"/>
      <family val="2"/>
      <charset val="238"/>
    </font>
    <font>
      <sz val="20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color theme="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color rgb="FF0070C0"/>
      <name val="Times New Roman CE"/>
      <family val="1"/>
      <charset val="238"/>
    </font>
    <font>
      <sz val="10"/>
      <color theme="6" tint="-0.499984740745262"/>
      <name val="Arial CE"/>
      <charset val="238"/>
    </font>
    <font>
      <sz val="18"/>
      <name val="Times New Roman"/>
      <family val="1"/>
      <charset val="238"/>
    </font>
    <font>
      <sz val="18"/>
      <name val="Times New Roman CE"/>
      <family val="1"/>
      <charset val="238"/>
    </font>
    <font>
      <b/>
      <sz val="18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8" xfId="0" applyFont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8" fillId="0" borderId="11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19" xfId="0" applyFont="1" applyBorder="1" applyAlignment="1" applyProtection="1">
      <alignment horizontal="left"/>
      <protection hidden="1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/>
      <protection hidden="1"/>
    </xf>
    <xf numFmtId="0" fontId="2" fillId="0" borderId="91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84" xfId="0" applyFont="1" applyBorder="1" applyAlignment="1" applyProtection="1">
      <alignment horizontal="center"/>
      <protection hidden="1"/>
    </xf>
    <xf numFmtId="0" fontId="21" fillId="0" borderId="0" xfId="0" applyFont="1"/>
    <xf numFmtId="14" fontId="22" fillId="0" borderId="0" xfId="0" applyNumberFormat="1" applyFont="1" applyAlignment="1" applyProtection="1">
      <alignment horizontal="left" vertical="center"/>
      <protection locked="0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5" fillId="0" borderId="7" xfId="0" applyFont="1" applyBorder="1" applyAlignment="1">
      <alignment horizontal="center"/>
    </xf>
    <xf numFmtId="49" fontId="25" fillId="0" borderId="7" xfId="0" applyNumberFormat="1" applyFont="1" applyBorder="1" applyAlignment="1" applyProtection="1">
      <alignment horizontal="center"/>
      <protection hidden="1"/>
    </xf>
    <xf numFmtId="0" fontId="25" fillId="0" borderId="7" xfId="0" applyFont="1" applyBorder="1"/>
    <xf numFmtId="0" fontId="25" fillId="0" borderId="30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92" xfId="0" applyFont="1" applyBorder="1"/>
    <xf numFmtId="0" fontId="26" fillId="0" borderId="30" xfId="0" applyFont="1" applyBorder="1"/>
    <xf numFmtId="0" fontId="26" fillId="0" borderId="7" xfId="0" applyFont="1" applyBorder="1"/>
    <xf numFmtId="0" fontId="26" fillId="0" borderId="92" xfId="0" applyFont="1" applyBorder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25" fillId="0" borderId="92" xfId="0" applyFont="1" applyBorder="1" applyAlignment="1">
      <alignment horizontal="left"/>
    </xf>
    <xf numFmtId="0" fontId="28" fillId="0" borderId="21" xfId="0" applyFont="1" applyBorder="1" applyAlignment="1">
      <alignment horizontal="center"/>
    </xf>
    <xf numFmtId="49" fontId="0" fillId="7" borderId="7" xfId="0" applyNumberFormat="1" applyFill="1" applyBorder="1" applyAlignment="1" applyProtection="1">
      <alignment horizontal="center"/>
      <protection hidden="1"/>
    </xf>
    <xf numFmtId="0" fontId="0" fillId="7" borderId="7" xfId="0" applyFill="1" applyBorder="1"/>
    <xf numFmtId="0" fontId="29" fillId="0" borderId="0" xfId="0" applyFont="1" applyAlignment="1">
      <alignment horizontal="left" wrapText="1"/>
    </xf>
    <xf numFmtId="0" fontId="29" fillId="0" borderId="0" xfId="0" applyFont="1"/>
    <xf numFmtId="0" fontId="1" fillId="0" borderId="41" xfId="0" applyFont="1" applyBorder="1" applyProtection="1">
      <protection locked="0"/>
    </xf>
    <xf numFmtId="0" fontId="9" fillId="0" borderId="41" xfId="0" applyFont="1" applyBorder="1" applyAlignment="1">
      <alignment horizontal="center"/>
    </xf>
    <xf numFmtId="0" fontId="0" fillId="0" borderId="41" xfId="0" applyBorder="1"/>
    <xf numFmtId="0" fontId="6" fillId="0" borderId="41" xfId="0" applyFont="1" applyBorder="1"/>
    <xf numFmtId="0" fontId="3" fillId="0" borderId="41" xfId="0" applyFont="1" applyBorder="1"/>
    <xf numFmtId="0" fontId="29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21" xfId="0" applyBorder="1"/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0" fillId="5" borderId="30" xfId="0" applyFill="1" applyBorder="1"/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29" xfId="0" applyBorder="1"/>
    <xf numFmtId="0" fontId="3" fillId="0" borderId="7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3" fillId="0" borderId="32" xfId="0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2" fillId="0" borderId="53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3" fillId="0" borderId="0" xfId="0" applyFont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0" fillId="0" borderId="37" xfId="0" applyBorder="1"/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/>
    <xf numFmtId="0" fontId="0" fillId="0" borderId="62" xfId="0" applyBorder="1"/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/>
    <xf numFmtId="0" fontId="0" fillId="0" borderId="68" xfId="0" applyBorder="1"/>
    <xf numFmtId="0" fontId="0" fillId="5" borderId="69" xfId="0" applyFill="1" applyBorder="1"/>
    <xf numFmtId="0" fontId="0" fillId="0" borderId="61" xfId="0" applyBorder="1"/>
    <xf numFmtId="0" fontId="0" fillId="3" borderId="11" xfId="0" applyFill="1" applyBorder="1"/>
    <xf numFmtId="0" fontId="2" fillId="0" borderId="45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46" xfId="0" applyBorder="1"/>
    <xf numFmtId="0" fontId="0" fillId="0" borderId="21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/>
    <xf numFmtId="0" fontId="0" fillId="0" borderId="67" xfId="0" applyBorder="1"/>
    <xf numFmtId="0" fontId="3" fillId="0" borderId="47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35" xfId="0" applyBorder="1"/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5" borderId="76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20" xfId="0" applyBorder="1"/>
    <xf numFmtId="0" fontId="23" fillId="0" borderId="35" xfId="0" applyFont="1" applyBorder="1" applyAlignment="1" applyProtection="1">
      <alignment horizontal="center" vertical="center"/>
      <protection locked="0"/>
    </xf>
    <xf numFmtId="0" fontId="3" fillId="6" borderId="94" xfId="0" applyFont="1" applyFill="1" applyBorder="1" applyAlignment="1">
      <alignment horizontal="center" vertical="center"/>
    </xf>
    <xf numFmtId="0" fontId="3" fillId="6" borderId="93" xfId="0" applyFont="1" applyFill="1" applyBorder="1" applyAlignment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/>
    <xf numFmtId="0" fontId="2" fillId="3" borderId="7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27" fillId="0" borderId="68" xfId="0" applyFont="1" applyBorder="1" applyAlignment="1">
      <alignment horizontal="left" vertical="top"/>
    </xf>
    <xf numFmtId="0" fontId="27" fillId="0" borderId="35" xfId="0" applyFont="1" applyBorder="1" applyAlignment="1">
      <alignment horizontal="left" vertical="top"/>
    </xf>
    <xf numFmtId="0" fontId="27" fillId="0" borderId="61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24" fillId="0" borderId="1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3" xfId="0" applyBorder="1"/>
    <xf numFmtId="0" fontId="2" fillId="0" borderId="83" xfId="0" applyFont="1" applyBorder="1" applyAlignment="1" applyProtection="1">
      <alignment horizontal="center" vertical="center"/>
      <protection hidden="1"/>
    </xf>
    <xf numFmtId="0" fontId="0" fillId="0" borderId="84" xfId="0" applyBorder="1"/>
    <xf numFmtId="0" fontId="0" fillId="0" borderId="85" xfId="0" applyBorder="1"/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17" fillId="0" borderId="84" xfId="0" applyFont="1" applyBorder="1"/>
    <xf numFmtId="0" fontId="17" fillId="0" borderId="85" xfId="0" applyFont="1" applyBorder="1"/>
    <xf numFmtId="0" fontId="3" fillId="0" borderId="76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3" borderId="77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3" fillId="0" borderId="88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82" xfId="0" applyBorder="1"/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0" fillId="0" borderId="69" xfId="0" applyBorder="1"/>
    <xf numFmtId="0" fontId="0" fillId="0" borderId="13" xfId="0" applyBorder="1" applyProtection="1">
      <protection locked="0"/>
    </xf>
    <xf numFmtId="0" fontId="2" fillId="0" borderId="75" xfId="0" applyFont="1" applyBorder="1" applyAlignment="1" applyProtection="1">
      <alignment horizontal="center"/>
      <protection hidden="1"/>
    </xf>
    <xf numFmtId="0" fontId="0" fillId="0" borderId="2" xfId="0" applyBorder="1"/>
    <xf numFmtId="0" fontId="2" fillId="0" borderId="80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0" fillId="3" borderId="62" xfId="0" applyFill="1" applyBorder="1"/>
    <xf numFmtId="0" fontId="3" fillId="3" borderId="60" xfId="0" applyFont="1" applyFill="1" applyBorder="1" applyAlignment="1" applyProtection="1">
      <alignment horizontal="center" vertical="center"/>
      <protection hidden="1"/>
    </xf>
    <xf numFmtId="0" fontId="0" fillId="3" borderId="61" xfId="0" applyFill="1" applyBorder="1"/>
    <xf numFmtId="0" fontId="3" fillId="3" borderId="42" xfId="0" applyFont="1" applyFill="1" applyBorder="1" applyAlignment="1" applyProtection="1">
      <alignment horizontal="center" vertical="center"/>
      <protection hidden="1"/>
    </xf>
    <xf numFmtId="0" fontId="0" fillId="0" borderId="89" xfId="0" applyBorder="1"/>
    <xf numFmtId="0" fontId="0" fillId="3" borderId="44" xfId="0" applyFill="1" applyBorder="1"/>
    <xf numFmtId="0" fontId="3" fillId="3" borderId="27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/>
    <xf numFmtId="0" fontId="0" fillId="3" borderId="69" xfId="0" applyFill="1" applyBorder="1"/>
    <xf numFmtId="0" fontId="3" fillId="3" borderId="65" xfId="0" applyFont="1" applyFill="1" applyBorder="1" applyAlignment="1" applyProtection="1">
      <alignment horizontal="center" vertical="center"/>
      <protection hidden="1"/>
    </xf>
    <xf numFmtId="0" fontId="0" fillId="3" borderId="66" xfId="0" applyFill="1" applyBorder="1"/>
    <xf numFmtId="0" fontId="0" fillId="3" borderId="42" xfId="0" applyFill="1" applyBorder="1"/>
    <xf numFmtId="0" fontId="3" fillId="3" borderId="78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/>
    <xf numFmtId="0" fontId="3" fillId="3" borderId="7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ální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82C18"/>
      <color rgb="FFFF3300"/>
      <color rgb="FFFF505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9"/>
  <sheetViews>
    <sheetView view="pageBreakPreview" zoomScaleNormal="100" zoomScaleSheetLayoutView="100" workbookViewId="0">
      <selection activeCell="B2" sqref="B2:C2"/>
    </sheetView>
  </sheetViews>
  <sheetFormatPr defaultRowHeight="12.5"/>
  <cols>
    <col min="1" max="1" width="4.54296875" customWidth="1"/>
    <col min="2" max="2" width="25.453125" style="17" customWidth="1"/>
    <col min="3" max="3" width="22.81640625" style="17" customWidth="1"/>
    <col min="4" max="4" width="9.1796875" style="16"/>
    <col min="5" max="5" width="11.453125" bestFit="1" customWidth="1"/>
  </cols>
  <sheetData>
    <row r="1" spans="1:4" s="1" customFormat="1">
      <c r="A1" s="118" t="s">
        <v>51</v>
      </c>
      <c r="B1" s="117" t="s">
        <v>0</v>
      </c>
      <c r="C1" s="117" t="s">
        <v>1</v>
      </c>
      <c r="D1" s="117" t="s">
        <v>7</v>
      </c>
    </row>
    <row r="2" spans="1:4" ht="12.75" customHeight="1">
      <c r="A2" s="101">
        <v>1</v>
      </c>
      <c r="B2" s="102" t="s">
        <v>63</v>
      </c>
      <c r="C2" s="102" t="s">
        <v>74</v>
      </c>
      <c r="D2" s="103">
        <v>1</v>
      </c>
    </row>
    <row r="3" spans="1:4">
      <c r="A3" s="101">
        <v>2</v>
      </c>
      <c r="B3" s="102" t="s">
        <v>64</v>
      </c>
      <c r="C3" s="102" t="s">
        <v>75</v>
      </c>
      <c r="D3" s="103">
        <v>2</v>
      </c>
    </row>
    <row r="4" spans="1:4">
      <c r="A4" s="101">
        <v>3</v>
      </c>
      <c r="B4" s="102" t="s">
        <v>65</v>
      </c>
      <c r="C4" s="102" t="s">
        <v>76</v>
      </c>
      <c r="D4" s="103">
        <v>3</v>
      </c>
    </row>
    <row r="5" spans="1:4">
      <c r="A5" s="101">
        <v>4</v>
      </c>
      <c r="B5" s="102" t="s">
        <v>66</v>
      </c>
      <c r="C5" s="102" t="s">
        <v>77</v>
      </c>
      <c r="D5" s="103">
        <v>4</v>
      </c>
    </row>
    <row r="6" spans="1:4">
      <c r="A6" s="101">
        <v>5</v>
      </c>
      <c r="B6" s="102" t="s">
        <v>67</v>
      </c>
      <c r="C6" s="102" t="s">
        <v>76</v>
      </c>
      <c r="D6" s="103">
        <v>6</v>
      </c>
    </row>
    <row r="7" spans="1:4">
      <c r="A7" s="101">
        <v>6</v>
      </c>
      <c r="B7" s="102" t="s">
        <v>68</v>
      </c>
      <c r="C7" s="102" t="s">
        <v>75</v>
      </c>
      <c r="D7" s="103">
        <v>7</v>
      </c>
    </row>
    <row r="8" spans="1:4">
      <c r="A8" s="101">
        <v>7</v>
      </c>
      <c r="B8" s="102" t="s">
        <v>69</v>
      </c>
      <c r="C8" s="102" t="s">
        <v>78</v>
      </c>
      <c r="D8" s="103">
        <v>8</v>
      </c>
    </row>
    <row r="9" spans="1:4">
      <c r="A9" s="101">
        <v>8</v>
      </c>
      <c r="B9" s="102" t="s">
        <v>70</v>
      </c>
      <c r="C9" s="102" t="s">
        <v>75</v>
      </c>
      <c r="D9" s="103">
        <v>9</v>
      </c>
    </row>
    <row r="10" spans="1:4">
      <c r="A10" s="101">
        <v>9</v>
      </c>
      <c r="B10" s="102" t="s">
        <v>97</v>
      </c>
      <c r="C10" s="102" t="s">
        <v>79</v>
      </c>
      <c r="D10" s="103">
        <v>10</v>
      </c>
    </row>
    <row r="11" spans="1:4">
      <c r="A11" s="101">
        <v>10</v>
      </c>
      <c r="B11" s="102" t="s">
        <v>71</v>
      </c>
      <c r="C11" s="102" t="s">
        <v>76</v>
      </c>
      <c r="D11" s="103">
        <v>11</v>
      </c>
    </row>
    <row r="12" spans="1:4">
      <c r="A12" s="101">
        <v>11</v>
      </c>
      <c r="B12" s="102" t="s">
        <v>72</v>
      </c>
      <c r="C12" s="102" t="s">
        <v>78</v>
      </c>
      <c r="D12" s="103">
        <v>12</v>
      </c>
    </row>
    <row r="13" spans="1:4" ht="13" thickBot="1">
      <c r="A13" s="128">
        <v>12</v>
      </c>
      <c r="B13" s="113" t="s">
        <v>73</v>
      </c>
      <c r="C13" s="113" t="s">
        <v>80</v>
      </c>
      <c r="D13" s="114">
        <v>13</v>
      </c>
    </row>
    <row r="14" spans="1:4">
      <c r="A14" s="101">
        <v>13</v>
      </c>
      <c r="B14" s="102" t="s">
        <v>81</v>
      </c>
      <c r="C14" s="102" t="s">
        <v>93</v>
      </c>
      <c r="D14" s="103">
        <v>2</v>
      </c>
    </row>
    <row r="15" spans="1:4" ht="12.75" customHeight="1">
      <c r="A15" s="101">
        <v>14</v>
      </c>
      <c r="B15" s="102" t="s">
        <v>82</v>
      </c>
      <c r="C15" s="102" t="s">
        <v>74</v>
      </c>
      <c r="D15" s="103">
        <v>4</v>
      </c>
    </row>
    <row r="16" spans="1:4">
      <c r="A16" s="101">
        <v>15</v>
      </c>
      <c r="B16" s="102" t="s">
        <v>83</v>
      </c>
      <c r="C16" s="102" t="s">
        <v>94</v>
      </c>
      <c r="D16" s="103">
        <v>5</v>
      </c>
    </row>
    <row r="17" spans="1:4">
      <c r="A17" s="101">
        <v>16</v>
      </c>
      <c r="B17" s="102" t="s">
        <v>84</v>
      </c>
      <c r="C17" s="102" t="s">
        <v>76</v>
      </c>
      <c r="D17" s="103">
        <v>7</v>
      </c>
    </row>
    <row r="18" spans="1:4">
      <c r="A18" s="101">
        <v>17</v>
      </c>
      <c r="B18" s="102" t="s">
        <v>85</v>
      </c>
      <c r="C18" s="102" t="s">
        <v>95</v>
      </c>
      <c r="D18" s="103">
        <v>8</v>
      </c>
    </row>
    <row r="19" spans="1:4">
      <c r="A19" s="101">
        <v>18</v>
      </c>
      <c r="B19" s="102" t="s">
        <v>86</v>
      </c>
      <c r="C19" s="102" t="s">
        <v>77</v>
      </c>
      <c r="D19" s="103">
        <v>9</v>
      </c>
    </row>
    <row r="20" spans="1:4">
      <c r="A20" s="101">
        <v>19</v>
      </c>
      <c r="B20" s="102" t="s">
        <v>87</v>
      </c>
      <c r="C20" s="102" t="s">
        <v>96</v>
      </c>
      <c r="D20" s="103">
        <v>10</v>
      </c>
    </row>
    <row r="21" spans="1:4">
      <c r="A21" s="101">
        <v>20</v>
      </c>
      <c r="B21" s="102" t="s">
        <v>88</v>
      </c>
      <c r="C21" s="102" t="s">
        <v>93</v>
      </c>
      <c r="D21" s="103">
        <v>11</v>
      </c>
    </row>
    <row r="22" spans="1:4">
      <c r="A22" s="101">
        <v>21</v>
      </c>
      <c r="B22" s="102" t="s">
        <v>89</v>
      </c>
      <c r="C22" s="102" t="s">
        <v>74</v>
      </c>
      <c r="D22" s="103">
        <v>12</v>
      </c>
    </row>
    <row r="23" spans="1:4">
      <c r="A23" s="101">
        <v>22</v>
      </c>
      <c r="B23" s="102" t="s">
        <v>90</v>
      </c>
      <c r="C23" s="102" t="s">
        <v>75</v>
      </c>
      <c r="D23" s="103">
        <v>13</v>
      </c>
    </row>
    <row r="24" spans="1:4">
      <c r="A24" s="101">
        <v>23</v>
      </c>
      <c r="B24" s="102" t="s">
        <v>91</v>
      </c>
      <c r="C24" s="102" t="s">
        <v>95</v>
      </c>
      <c r="D24" s="103">
        <v>18</v>
      </c>
    </row>
    <row r="25" spans="1:4" ht="13" thickBot="1">
      <c r="A25" s="128">
        <v>24</v>
      </c>
      <c r="B25" s="113" t="s">
        <v>92</v>
      </c>
      <c r="C25" s="113" t="s">
        <v>74</v>
      </c>
      <c r="D25" s="114">
        <v>19</v>
      </c>
    </row>
    <row r="26" spans="1:4">
      <c r="B26"/>
      <c r="C26"/>
      <c r="D26"/>
    </row>
    <row r="31" spans="1:4">
      <c r="A31" s="59"/>
      <c r="B31" s="58"/>
      <c r="C31" s="59"/>
      <c r="D31" s="58"/>
    </row>
    <row r="32" spans="1:4">
      <c r="A32" s="59"/>
      <c r="B32" s="58"/>
      <c r="C32" s="59"/>
      <c r="D32" s="58"/>
    </row>
    <row r="33" spans="1:4">
      <c r="A33" s="59"/>
      <c r="B33" s="58"/>
      <c r="C33" s="59"/>
      <c r="D33" s="58"/>
    </row>
    <row r="34" spans="1:4">
      <c r="A34" s="59"/>
      <c r="B34" s="58"/>
      <c r="C34" s="59"/>
      <c r="D34" s="58"/>
    </row>
    <row r="36" spans="1:4">
      <c r="A36" s="59"/>
      <c r="B36" s="58"/>
      <c r="C36" s="59"/>
      <c r="D36" s="58"/>
    </row>
    <row r="37" spans="1:4">
      <c r="A37" s="59"/>
      <c r="B37" s="58"/>
      <c r="C37" s="59"/>
      <c r="D37" s="58"/>
    </row>
    <row r="38" spans="1:4">
      <c r="A38" s="59"/>
      <c r="B38" s="58"/>
      <c r="C38" s="59"/>
      <c r="D38" s="58"/>
    </row>
    <row r="39" spans="1:4">
      <c r="A39" s="59"/>
      <c r="B39" s="58"/>
      <c r="C39" s="59"/>
      <c r="D39" s="58"/>
    </row>
  </sheetData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14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39"/>
  <sheetViews>
    <sheetView tabSelected="1" view="pageBreakPreview" zoomScaleNormal="100" zoomScaleSheetLayoutView="100" workbookViewId="0">
      <selection activeCell="C9" sqref="C9"/>
    </sheetView>
  </sheetViews>
  <sheetFormatPr defaultRowHeight="12.5"/>
  <cols>
    <col min="1" max="1" width="12.453125" customWidth="1"/>
    <col min="2" max="2" width="8.81640625" customWidth="1"/>
    <col min="3" max="3" width="26.453125" style="17" customWidth="1"/>
    <col min="4" max="4" width="29.26953125" style="17" customWidth="1"/>
    <col min="6" max="6" width="18.7265625" bestFit="1" customWidth="1"/>
  </cols>
  <sheetData>
    <row r="1" spans="1:4" s="1" customFormat="1" ht="18" customHeight="1">
      <c r="A1" s="104" t="s">
        <v>46</v>
      </c>
      <c r="B1" s="104" t="s">
        <v>45</v>
      </c>
      <c r="C1" s="105" t="s">
        <v>0</v>
      </c>
      <c r="D1" s="105" t="s">
        <v>1</v>
      </c>
    </row>
    <row r="2" spans="1:4" ht="18" customHeight="1">
      <c r="A2" s="106" t="s">
        <v>47</v>
      </c>
      <c r="B2" s="110">
        <v>1</v>
      </c>
      <c r="C2" s="108" t="str">
        <f>IFERROR(INDEX(seznam!$B$2:'seznam'!$B$25, MATCH( INDEX('sk 1-6, 7-12 - Muži'!$A$3:'sk 1-6, 7-12 - Muži'!$A$30, MATCH(ROW()-1,'sk 1-6, 7-12 - Muži'!$AA$3:'sk 1-6, 7-12 - Muži'!$AA$30,0)), seznam!$A$2:'seznam'!$A$25,0) ), "")</f>
        <v>Voráč Pavel</v>
      </c>
      <c r="D2" s="108" t="str">
        <f>IFERROR(INDEX(seznam!$C$2:'seznam'!$C$25, MATCH( INDEX('sk 1-6, 7-12 - Muži'!$A$3:'sk 1-6, 7-12 - Muži'!$A$30, MATCH(ROW()-1,'sk 1-6, 7-12 - Muži'!$AA$3:'sk 1-6, 7-12 - Muži'!$AA$30,0)), seznam!$A$2:'seznam'!$A$25,0) ), "")</f>
        <v>KST Blansko</v>
      </c>
    </row>
    <row r="3" spans="1:4" ht="18" customHeight="1">
      <c r="A3" s="106" t="s">
        <v>47</v>
      </c>
      <c r="B3" s="111">
        <v>2</v>
      </c>
      <c r="C3" s="108" t="str">
        <f>IFERROR(INDEX(seznam!$B$2:'seznam'!$B$25, MATCH( INDEX('sk 1-6, 7-12 - Muži'!$A$3:'sk 1-6, 7-12 - Muži'!$A$30, MATCH(ROW()-1,'sk 1-6, 7-12 - Muži'!$AA$3:'sk 1-6, 7-12 - Muži'!$AA$30,0)), seznam!$A$2:'seznam'!$A$25,0) ), "")</f>
        <v>Kmenta Josef</v>
      </c>
      <c r="D3" s="108" t="str">
        <f>IFERROR(INDEX(seznam!$C$2:'seznam'!$C$25, MATCH( INDEX('sk 1-6, 7-12 - Muži'!$A$3:'sk 1-6, 7-12 - Muži'!$A$30, MATCH(ROW()-1,'sk 1-6, 7-12 - Muži'!$AA$3:'sk 1-6, 7-12 - Muži'!$AA$30,0)), seznam!$A$2:'seznam'!$A$25,0) ), "")</f>
        <v>SKST Hodonín</v>
      </c>
    </row>
    <row r="4" spans="1:4" ht="18" customHeight="1">
      <c r="A4" s="106" t="s">
        <v>47</v>
      </c>
      <c r="B4" s="111">
        <v>3</v>
      </c>
      <c r="C4" s="108" t="str">
        <f>IFERROR(INDEX(seznam!$B$2:'seznam'!$B$25, MATCH( INDEX('sk 1-6, 7-12 - Muži'!$A$3:'sk 1-6, 7-12 - Muži'!$A$30, MATCH(ROW()-1,'sk 1-6, 7-12 - Muži'!$AA$3:'sk 1-6, 7-12 - Muži'!$AA$30,0)), seznam!$A$2:'seznam'!$A$25,0) ), "")</f>
        <v>Peťura Patrik</v>
      </c>
      <c r="D4" s="108" t="str">
        <f>IFERROR(INDEX(seznam!$C$2:'seznam'!$C$25, MATCH( INDEX('sk 1-6, 7-12 - Muži'!$A$3:'sk 1-6, 7-12 - Muži'!$A$30, MATCH(ROW()-1,'sk 1-6, 7-12 - Muži'!$AA$3:'sk 1-6, 7-12 - Muži'!$AA$30,0)), seznam!$A$2:'seznam'!$A$25,0) ), "")</f>
        <v>Jiskra Strážnice</v>
      </c>
    </row>
    <row r="5" spans="1:4" ht="18" customHeight="1">
      <c r="A5" s="106" t="s">
        <v>47</v>
      </c>
      <c r="B5" s="111">
        <v>4</v>
      </c>
      <c r="C5" s="108" t="str">
        <f>IFERROR(INDEX(seznam!$B$2:'seznam'!$B$25, MATCH( INDEX('sk 1-6, 7-12 - Muži'!$A$3:'sk 1-6, 7-12 - Muži'!$A$30, MATCH(ROW()-1,'sk 1-6, 7-12 - Muži'!$AA$3:'sk 1-6, 7-12 - Muži'!$AA$30,0)), seznam!$A$2:'seznam'!$A$25,0) ), "")</f>
        <v>Omelka Marek</v>
      </c>
      <c r="D5" s="108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6" spans="1:4" ht="18" customHeight="1">
      <c r="A6" s="106" t="s">
        <v>47</v>
      </c>
      <c r="B6" s="111">
        <v>5</v>
      </c>
      <c r="C6" s="108" t="str">
        <f>IFERROR(INDEX(seznam!$B$2:'seznam'!$B$25, MATCH( INDEX('sk 1-6, 7-12 - Muži'!$A$3:'sk 1-6, 7-12 - Muži'!$A$30, MATCH(ROW()-1,'sk 1-6, 7-12 - Muži'!$AA$3:'sk 1-6, 7-12 - Muži'!$AA$30,0)), seznam!$A$2:'seznam'!$A$25,0) ), "")</f>
        <v>Šimon Samuel</v>
      </c>
      <c r="D6" s="108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7" spans="1:4" ht="18" customHeight="1">
      <c r="A7" s="106" t="s">
        <v>47</v>
      </c>
      <c r="B7" s="111">
        <v>6</v>
      </c>
      <c r="C7" s="108" t="str">
        <f>IFERROR(INDEX(seznam!$B$2:'seznam'!$B$25, MATCH( INDEX('sk 1-6, 7-12 - Muži'!$A$3:'sk 1-6, 7-12 - Muži'!$A$30, MATCH(ROW()-1,'sk 1-6, 7-12 - Muži'!$AA$3:'sk 1-6, 7-12 - Muži'!$AA$30,0)), seznam!$A$2:'seznam'!$A$25,0) ), "")</f>
        <v>Látal Jan</v>
      </c>
      <c r="D7" s="108" t="str">
        <f>IFERROR(INDEX(seznam!$C$2:'seznam'!$C$25, MATCH( INDEX('sk 1-6, 7-12 - Muži'!$A$3:'sk 1-6, 7-12 - Muži'!$A$30, MATCH(ROW()-1,'sk 1-6, 7-12 - Muži'!$AA$3:'sk 1-6, 7-12 - Muži'!$AA$30,0)), seznam!$A$2:'seznam'!$A$25,0) ), "")</f>
        <v>Jiskra Strážnice</v>
      </c>
    </row>
    <row r="8" spans="1:4" ht="18" customHeight="1">
      <c r="A8" s="106" t="s">
        <v>47</v>
      </c>
      <c r="B8" s="111">
        <v>7</v>
      </c>
      <c r="C8" s="108" t="str">
        <f>IFERROR(INDEX(seznam!$B$2:'seznam'!$B$25, MATCH( INDEX('sk 1-6, 7-12 - Muži'!$A$3:'sk 1-6, 7-12 - Muži'!$A$30, MATCH(ROW()-1,'sk 1-6, 7-12 - Muži'!$AA$3:'sk 1-6, 7-12 - Muži'!$AA$30,0)), seznam!$A$2:'seznam'!$A$25,0) ), "")</f>
        <v>Pantlík Daniel</v>
      </c>
      <c r="D8" s="108" t="str">
        <f>IFERROR(INDEX(seznam!$C$2:'seznam'!$C$25, MATCH( INDEX('sk 1-6, 7-12 - Muži'!$A$3:'sk 1-6, 7-12 - Muži'!$A$30, MATCH(ROW()-1,'sk 1-6, 7-12 - Muži'!$AA$3:'sk 1-6, 7-12 - Muži'!$AA$30,0)), seznam!$A$2:'seznam'!$A$25,0) ), "")</f>
        <v>MK Řeznovice</v>
      </c>
    </row>
    <row r="9" spans="1:4" ht="18" customHeight="1">
      <c r="A9" s="106" t="s">
        <v>47</v>
      </c>
      <c r="B9" s="111">
        <v>8</v>
      </c>
      <c r="C9" s="108" t="str">
        <f>IFERROR(INDEX(seznam!$B$2:'seznam'!$B$25, MATCH( INDEX('sk 1-6, 7-12 - Muži'!$A$3:'sk 1-6, 7-12 - Muži'!$A$30, MATCH(ROW()-1,'sk 1-6, 7-12 - Muži'!$AA$3:'sk 1-6, 7-12 - Muži'!$AA$30,0)), seznam!$A$2:'seznam'!$A$25,0) ), "")</f>
        <v>Ides Samuel Hugo</v>
      </c>
      <c r="D9" s="108" t="str">
        <f>IFERROR(INDEX(seznam!$C$2:'seznam'!$C$25, MATCH( INDEX('sk 1-6, 7-12 - Muži'!$A$3:'sk 1-6, 7-12 - Muži'!$A$30, MATCH(ROW()-1,'sk 1-6, 7-12 - Muži'!$AA$3:'sk 1-6, 7-12 - Muži'!$AA$30,0)), seznam!$A$2:'seznam'!$A$25,0) ), "")</f>
        <v>Sokol Brno I</v>
      </c>
    </row>
    <row r="10" spans="1:4" ht="18" customHeight="1">
      <c r="A10" s="106" t="s">
        <v>47</v>
      </c>
      <c r="B10" s="111">
        <v>9</v>
      </c>
      <c r="C10" s="108" t="str">
        <f>IFERROR(INDEX(seznam!$B$2:'seznam'!$B$25, MATCH( INDEX('sk 1-6, 7-12 - Muži'!$A$3:'sk 1-6, 7-12 - Muži'!$A$30, MATCH(ROW()-1,'sk 1-6, 7-12 - Muži'!$AA$3:'sk 1-6, 7-12 - Muži'!$AA$30,0)), seznam!$A$2:'seznam'!$A$25,0) ), "")</f>
        <v>Spěvák Šimon</v>
      </c>
      <c r="D10" s="108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11" spans="1:4" ht="18" customHeight="1">
      <c r="A11" s="106" t="s">
        <v>47</v>
      </c>
      <c r="B11" s="111">
        <v>10</v>
      </c>
      <c r="C11" s="108" t="str">
        <f>IFERROR(INDEX(seznam!$B$2:'seznam'!$B$25, MATCH( INDEX('sk 1-6, 7-12 - Muži'!$A$3:'sk 1-6, 7-12 - Muži'!$A$30, MATCH(ROW()-1,'sk 1-6, 7-12 - Muži'!$AA$3:'sk 1-6, 7-12 - Muži'!$AA$30,0)), seznam!$A$2:'seznam'!$A$25,0) ), "")</f>
        <v>Tomeček Richard</v>
      </c>
      <c r="D11" s="108" t="str">
        <f>IFERROR(INDEX(seznam!$C$2:'seznam'!$C$25, MATCH( INDEX('sk 1-6, 7-12 - Muži'!$A$3:'sk 1-6, 7-12 - Muži'!$A$30, MATCH(ROW()-1,'sk 1-6, 7-12 - Muži'!$AA$3:'sk 1-6, 7-12 - Muži'!$AA$30,0)), seznam!$A$2:'seznam'!$A$25,0) ), "")</f>
        <v>Jiskra Strážnice</v>
      </c>
    </row>
    <row r="12" spans="1:4" ht="18" customHeight="1">
      <c r="A12" s="106" t="s">
        <v>47</v>
      </c>
      <c r="B12" s="111">
        <v>11</v>
      </c>
      <c r="C12" s="108" t="str">
        <f>IFERROR(INDEX(seznam!$B$2:'seznam'!$B$25, MATCH( INDEX('sk 1-6, 7-12 - Muži'!$A$3:'sk 1-6, 7-12 - Muži'!$A$30, MATCH(ROW()-1,'sk 1-6, 7-12 - Muži'!$AA$3:'sk 1-6, 7-12 - Muži'!$AA$30,0)), seznam!$A$2:'seznam'!$A$25,0) ), "")</f>
        <v>Plotzer Robin</v>
      </c>
      <c r="D12" s="108" t="str">
        <f>IFERROR(INDEX(seznam!$C$2:'seznam'!$C$25, MATCH( INDEX('sk 1-6, 7-12 - Muži'!$A$3:'sk 1-6, 7-12 - Muži'!$A$30, MATCH(ROW()-1,'sk 1-6, 7-12 - Muži'!$AA$3:'sk 1-6, 7-12 - Muži'!$AA$30,0)), seznam!$A$2:'seznam'!$A$25,0) ), "")</f>
        <v>MK Řeznovice</v>
      </c>
    </row>
    <row r="13" spans="1:4" ht="18" customHeight="1" thickBot="1">
      <c r="A13" s="109" t="s">
        <v>47</v>
      </c>
      <c r="B13" s="112">
        <v>12</v>
      </c>
      <c r="C13" s="115" t="str">
        <f>IFERROR(INDEX(seznam!$B$2:'seznam'!$B$25, MATCH( INDEX('sk 1-6, 7-12 - Muži'!$A$3:'sk 1-6, 7-12 - Muži'!$A$30, MATCH(ROW()-1,'sk 1-6, 7-12 - Muži'!$AA$3:'sk 1-6, 7-12 - Muži'!$AA$30,0)), seznam!$A$2:'seznam'!$A$25,0) ), "")</f>
        <v>Luhan Adam</v>
      </c>
      <c r="D13" s="115" t="str">
        <f>IFERROR(INDEX(seznam!$C$2:'seznam'!$C$25, MATCH( INDEX('sk 1-6, 7-12 - Muži'!$A$3:'sk 1-6, 7-12 - Muži'!$A$30, MATCH(ROW()-1,'sk 1-6, 7-12 - Muži'!$AA$3:'sk 1-6, 7-12 - Muži'!$AA$30,0)), seznam!$A$2:'seznam'!$A$25,0) ), "")</f>
        <v>MSK Břeclav</v>
      </c>
    </row>
    <row r="14" spans="1:4" ht="18" customHeight="1" thickTop="1">
      <c r="A14" s="106" t="s">
        <v>48</v>
      </c>
      <c r="B14" s="110">
        <v>1</v>
      </c>
      <c r="C14" s="107" t="str">
        <f>IFERROR(INDEX(seznam!$B$2:'seznam'!$B$25, MATCH( INDEX('sk 1-6, 7-12 - Ženy'!$A$3:'sk 1-6, 7-12 - Ženy'!$A$30, MATCH(ROW()-13,'sk 1-6, 7-12 - Ženy'!$AA$3:'sk 1-6, 7-12 - Ženy'!$AA$30,0)), seznam!$A$2:'seznam'!$A$25,0) ),"")</f>
        <v>Straková Adéla</v>
      </c>
      <c r="D14" s="107" t="str">
        <f>IFERROR(INDEX(seznam!$C$2:'seznam'!$C$25, MATCH( INDEX('sk 1-6, 7-12 - Ženy'!$A$3:'sk 1-6, 7-12 - Ženy'!$A$30, MATCH(ROW()-13,'sk 1-6, 7-12 - Ženy'!$AA$3:'sk 1-6, 7-12 - Ženy'!$AA$30,0)), seznam!$A$2:'seznam'!$A$25,0) ),"")</f>
        <v>Vlast Ježov</v>
      </c>
    </row>
    <row r="15" spans="1:4" ht="18" customHeight="1">
      <c r="A15" s="106" t="s">
        <v>48</v>
      </c>
      <c r="B15" s="111">
        <v>2</v>
      </c>
      <c r="C15" s="107" t="str">
        <f>IFERROR(INDEX(seznam!$B$2:'seznam'!$B$25, MATCH( INDEX('sk 1-6, 7-12 - Ženy'!$A$3:'sk 1-6, 7-12 - Ženy'!$A$30, MATCH(ROW()-13,'sk 1-6, 7-12 - Ženy'!$AA$3:'sk 1-6, 7-12 - Ženy'!$AA$30,0)), seznam!$A$2:'seznam'!$A$25,0) ),"")</f>
        <v>Solfronková Ema</v>
      </c>
      <c r="D15" s="107" t="str">
        <f>IFERROR(INDEX(seznam!$C$2:'seznam'!$C$25, MATCH( INDEX('sk 1-6, 7-12 - Ženy'!$A$3:'sk 1-6, 7-12 - Ženy'!$A$30, MATCH(ROW()-13,'sk 1-6, 7-12 - Ženy'!$AA$3:'sk 1-6, 7-12 - Ženy'!$AA$30,0)), seznam!$A$2:'seznam'!$A$25,0) ),"")</f>
        <v>MS Brno</v>
      </c>
    </row>
    <row r="16" spans="1:4" ht="18" customHeight="1">
      <c r="A16" s="106" t="s">
        <v>48</v>
      </c>
      <c r="B16" s="111">
        <v>3</v>
      </c>
      <c r="C16" s="107" t="str">
        <f>IFERROR(INDEX(seznam!$B$2:'seznam'!$B$25, MATCH( INDEX('sk 1-6, 7-12 - Ženy'!$A$3:'sk 1-6, 7-12 - Ženy'!$A$30, MATCH(ROW()-13,'sk 1-6, 7-12 - Ženy'!$AA$3:'sk 1-6, 7-12 - Ženy'!$AA$30,0)), seznam!$A$2:'seznam'!$A$25,0) ),"")</f>
        <v>Jonášová Kristýna</v>
      </c>
      <c r="D16" s="107" t="str">
        <f>IFERROR(INDEX(seznam!$C$2:'seznam'!$C$25, MATCH( INDEX('sk 1-6, 7-12 - Ženy'!$A$3:'sk 1-6, 7-12 - Ženy'!$A$30, MATCH(ROW()-13,'sk 1-6, 7-12 - Ženy'!$AA$3:'sk 1-6, 7-12 - Ženy'!$AA$30,0)), seznam!$A$2:'seznam'!$A$25,0) ),"")</f>
        <v>STK Zbraslavec</v>
      </c>
    </row>
    <row r="17" spans="1:4" ht="18" customHeight="1">
      <c r="A17" s="106" t="s">
        <v>48</v>
      </c>
      <c r="B17" s="111">
        <v>4</v>
      </c>
      <c r="C17" s="107" t="str">
        <f>IFERROR(INDEX(seznam!$B$2:'seznam'!$B$25, MATCH( INDEX('sk 1-6, 7-12 - Ženy'!$A$3:'sk 1-6, 7-12 - Ženy'!$A$30, MATCH(ROW()-13,'sk 1-6, 7-12 - Ženy'!$AA$3:'sk 1-6, 7-12 - Ženy'!$AA$30,0)), seznam!$A$2:'seznam'!$A$25,0) ),"")</f>
        <v>Pilitowská Ela</v>
      </c>
      <c r="D17" s="107" t="str">
        <f>IFERROR(INDEX(seznam!$C$2:'seznam'!$C$25, MATCH( INDEX('sk 1-6, 7-12 - Ženy'!$A$3:'sk 1-6, 7-12 - Ženy'!$A$30, MATCH(ROW()-13,'sk 1-6, 7-12 - Ženy'!$AA$3:'sk 1-6, 7-12 - Ženy'!$AA$30,0)), seznam!$A$2:'seznam'!$A$25,0) ),"")</f>
        <v>KST Blansko</v>
      </c>
    </row>
    <row r="18" spans="1:4" ht="18" customHeight="1">
      <c r="A18" s="106" t="s">
        <v>48</v>
      </c>
      <c r="B18" s="111">
        <v>5</v>
      </c>
      <c r="C18" s="107" t="str">
        <f>IFERROR(INDEX(seznam!$B$2:'seznam'!$B$25, MATCH( INDEX('sk 1-6, 7-12 - Ženy'!$A$3:'sk 1-6, 7-12 - Ženy'!$A$30, MATCH(ROW()-13,'sk 1-6, 7-12 - Ženy'!$AA$3:'sk 1-6, 7-12 - Ženy'!$AA$30,0)), seznam!$A$2:'seznam'!$A$25,0) ),"")</f>
        <v>Klašková Alžběta</v>
      </c>
      <c r="D18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19" spans="1:4" ht="18" customHeight="1">
      <c r="A19" s="106" t="s">
        <v>48</v>
      </c>
      <c r="B19" s="111">
        <v>6</v>
      </c>
      <c r="C19" s="107" t="str">
        <f>IFERROR(INDEX(seznam!$B$2:'seznam'!$B$25, MATCH( INDEX('sk 1-6, 7-12 - Ženy'!$A$3:'sk 1-6, 7-12 - Ženy'!$A$30, MATCH(ROW()-13,'sk 1-6, 7-12 - Ženy'!$AA$3:'sk 1-6, 7-12 - Ženy'!$AA$30,0)), seznam!$A$2:'seznam'!$A$25,0) ),"")</f>
        <v>Křepelová Kamila</v>
      </c>
      <c r="D19" s="107" t="str">
        <f>IFERROR(INDEX(seznam!$C$2:'seznam'!$C$25, MATCH( INDEX('sk 1-6, 7-12 - Ženy'!$A$3:'sk 1-6, 7-12 - Ženy'!$A$30, MATCH(ROW()-13,'sk 1-6, 7-12 - Ženy'!$AA$3:'sk 1-6, 7-12 - Ženy'!$AA$30,0)), seznam!$A$2:'seznam'!$A$25,0) ),"")</f>
        <v>STK Zbraslavec</v>
      </c>
    </row>
    <row r="20" spans="1:4" ht="18" customHeight="1">
      <c r="A20" s="106" t="s">
        <v>48</v>
      </c>
      <c r="B20" s="111">
        <v>7</v>
      </c>
      <c r="C20" s="107" t="str">
        <f>IFERROR(INDEX(seznam!$B$2:'seznam'!$B$25, MATCH( INDEX('sk 1-6, 7-12 - Ženy'!$A$3:'sk 1-6, 7-12 - Ženy'!$A$30, MATCH(ROW()-13,'sk 1-6, 7-12 - Ženy'!$AA$3:'sk 1-6, 7-12 - Ženy'!$AA$30,0)), seznam!$A$2:'seznam'!$A$25,0) ),"")</f>
        <v>Hasoňová Jana</v>
      </c>
      <c r="D20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21" spans="1:4" ht="18" customHeight="1">
      <c r="A21" s="106" t="s">
        <v>48</v>
      </c>
      <c r="B21" s="111">
        <v>8</v>
      </c>
      <c r="C21" s="107" t="str">
        <f>IFERROR(INDEX(seznam!$B$2:'seznam'!$B$25, MATCH( INDEX('sk 1-6, 7-12 - Ženy'!$A$3:'sk 1-6, 7-12 - Ženy'!$A$30, MATCH(ROW()-13,'sk 1-6, 7-12 - Ženy'!$AA$3:'sk 1-6, 7-12 - Ženy'!$AA$30,0)), seznam!$A$2:'seznam'!$A$25,0) ),"")</f>
        <v>Krupková Klaudie</v>
      </c>
      <c r="D21" s="107" t="str">
        <f>IFERROR(INDEX(seznam!$C$2:'seznam'!$C$25, MATCH( INDEX('sk 1-6, 7-12 - Ženy'!$A$3:'sk 1-6, 7-12 - Ženy'!$A$30, MATCH(ROW()-13,'sk 1-6, 7-12 - Ženy'!$AA$3:'sk 1-6, 7-12 - Ženy'!$AA$30,0)), seznam!$A$2:'seznam'!$A$25,0) ),"")</f>
        <v>KST Blansko</v>
      </c>
    </row>
    <row r="22" spans="1:4" ht="18" customHeight="1">
      <c r="A22" s="106" t="s">
        <v>48</v>
      </c>
      <c r="B22" s="111">
        <v>9</v>
      </c>
      <c r="C22" s="107" t="str">
        <f>IFERROR(INDEX(seznam!$B$2:'seznam'!$B$25, MATCH( INDEX('sk 1-6, 7-12 - Ženy'!$A$3:'sk 1-6, 7-12 - Ženy'!$A$30, MATCH(ROW()-13,'sk 1-6, 7-12 - Ženy'!$AA$3:'sk 1-6, 7-12 - Ženy'!$AA$30,0)), seznam!$A$2:'seznam'!$A$25,0) ),"")</f>
        <v>Maradová Eliška</v>
      </c>
      <c r="D22" s="107" t="str">
        <f>IFERROR(INDEX(seznam!$C$2:'seznam'!$C$25, MATCH( INDEX('sk 1-6, 7-12 - Ženy'!$A$3:'sk 1-6, 7-12 - Ženy'!$A$30, MATCH(ROW()-13,'sk 1-6, 7-12 - Ženy'!$AA$3:'sk 1-6, 7-12 - Ženy'!$AA$30,0)), seznam!$A$2:'seznam'!$A$25,0) ),"")</f>
        <v>MS Brno</v>
      </c>
    </row>
    <row r="23" spans="1:4" ht="18" customHeight="1">
      <c r="A23" s="106" t="s">
        <v>48</v>
      </c>
      <c r="B23" s="111">
        <v>10</v>
      </c>
      <c r="C23" s="107" t="str">
        <f>IFERROR(INDEX(seznam!$B$2:'seznam'!$B$25, MATCH( INDEX('sk 1-6, 7-12 - Ženy'!$A$3:'sk 1-6, 7-12 - Ženy'!$A$30, MATCH(ROW()-13,'sk 1-6, 7-12 - Ženy'!$AA$3:'sk 1-6, 7-12 - Ženy'!$AA$30,0)), seznam!$A$2:'seznam'!$A$25,0) ),"")</f>
        <v>Žilková Elen</v>
      </c>
      <c r="D23" s="107" t="str">
        <f>IFERROR(INDEX(seznam!$C$2:'seznam'!$C$25, MATCH( INDEX('sk 1-6, 7-12 - Ženy'!$A$3:'sk 1-6, 7-12 - Ženy'!$A$30, MATCH(ROW()-13,'sk 1-6, 7-12 - Ženy'!$AA$3:'sk 1-6, 7-12 - Ženy'!$AA$30,0)), seznam!$A$2:'seznam'!$A$25,0) ),"")</f>
        <v>Prace</v>
      </c>
    </row>
    <row r="24" spans="1:4" ht="18" customHeight="1">
      <c r="A24" s="106" t="s">
        <v>48</v>
      </c>
      <c r="B24" s="111">
        <v>11</v>
      </c>
      <c r="C24" s="107" t="str">
        <f>IFERROR(INDEX(seznam!$B$2:'seznam'!$B$25, MATCH( INDEX('sk 1-6, 7-12 - Ženy'!$A$3:'sk 1-6, 7-12 - Ženy'!$A$30, MATCH(ROW()-13,'sk 1-6, 7-12 - Ženy'!$AA$3:'sk 1-6, 7-12 - Ženy'!$AA$30,0)), seznam!$A$2:'seznam'!$A$25,0) ),"")</f>
        <v>Svobodová Kristýna</v>
      </c>
      <c r="D24" s="107" t="str">
        <f>IFERROR(INDEX(seznam!$C$2:'seznam'!$C$25, MATCH( INDEX('sk 1-6, 7-12 - Ženy'!$A$3:'sk 1-6, 7-12 - Ženy'!$A$30, MATCH(ROW()-13,'sk 1-6, 7-12 - Ženy'!$AA$3:'sk 1-6, 7-12 - Ženy'!$AA$30,0)), seznam!$A$2:'seznam'!$A$25,0) ),"")</f>
        <v>Jiskra Strážnice</v>
      </c>
    </row>
    <row r="25" spans="1:4" ht="18" customHeight="1" thickBot="1">
      <c r="A25" s="109" t="s">
        <v>48</v>
      </c>
      <c r="B25" s="112">
        <v>12</v>
      </c>
      <c r="C25" s="115" t="str">
        <f>IFERROR(INDEX(seznam!$B$2:'seznam'!$B$25, MATCH( INDEX('sk 1-6, 7-12 - Ženy'!$A$3:'sk 1-6, 7-12 - Ženy'!$A$30, MATCH(ROW()-13,'sk 1-6, 7-12 - Ženy'!$AA$3:'sk 1-6, 7-12 - Ženy'!$AA$30,0)), seznam!$A$2:'seznam'!$A$25,0) ),"")</f>
        <v>Zouharová Beáta</v>
      </c>
      <c r="D25" s="115" t="str">
        <f>IFERROR(INDEX(seznam!$C$2:'seznam'!$C$25, MATCH( INDEX('sk 1-6, 7-12 - Ženy'!$A$3:'sk 1-6, 7-12 - Ženy'!$A$30, MATCH(ROW()-13,'sk 1-6, 7-12 - Ženy'!$AA$3:'sk 1-6, 7-12 - Ženy'!$AA$30,0)), seznam!$A$2:'seznam'!$A$25,0) ),"")</f>
        <v>KST Blansko</v>
      </c>
    </row>
    <row r="26" spans="1:4" ht="13" thickTop="1">
      <c r="C26"/>
      <c r="D26"/>
    </row>
    <row r="31" spans="1:4">
      <c r="B31" s="59"/>
      <c r="C31" s="58"/>
      <c r="D31" s="59"/>
    </row>
    <row r="32" spans="1:4">
      <c r="B32" s="59"/>
      <c r="C32" s="58"/>
      <c r="D32" s="59"/>
    </row>
    <row r="33" spans="2:4">
      <c r="B33" s="59"/>
      <c r="C33" s="58"/>
      <c r="D33" s="59"/>
    </row>
    <row r="34" spans="2:4">
      <c r="B34" s="59"/>
      <c r="C34" s="58"/>
      <c r="D34" s="59"/>
    </row>
    <row r="36" spans="2:4">
      <c r="B36" s="59"/>
      <c r="C36" s="58"/>
      <c r="D36" s="59"/>
    </row>
    <row r="37" spans="2:4">
      <c r="B37" s="59"/>
      <c r="C37" s="58"/>
      <c r="D37" s="59"/>
    </row>
    <row r="38" spans="2:4">
      <c r="B38" s="59"/>
      <c r="C38" s="58"/>
      <c r="D38" s="59"/>
    </row>
    <row r="39" spans="2:4">
      <c r="B39" s="59"/>
      <c r="C39" s="58"/>
      <c r="D39" s="59"/>
    </row>
  </sheetData>
  <autoFilter ref="A1:D1">
    <sortState ref="A2:D22">
      <sortCondition ref="A1"/>
    </sortState>
  </autoFilter>
  <sortState ref="A2:D22">
    <sortCondition ref="A2:A22"/>
    <sortCondition ref="B2:B22"/>
  </sortState>
  <dataConsolidate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BA50"/>
  <sheetViews>
    <sheetView view="pageBreakPreview" zoomScale="85" zoomScaleNormal="100" zoomScaleSheetLayoutView="85" workbookViewId="0">
      <selection activeCell="AA31" sqref="AA31"/>
    </sheetView>
  </sheetViews>
  <sheetFormatPr defaultRowHeight="1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3" customWidth="1"/>
    <col min="37" max="39" width="3.1796875" style="9" customWidth="1"/>
    <col min="40" max="40" width="2.7265625" style="9" customWidth="1"/>
    <col min="41" max="42" width="4.7265625" style="3" customWidth="1"/>
    <col min="43" max="43" width="4.7265625" style="4" customWidth="1"/>
    <col min="44" max="44" width="4.7265625" style="2" customWidth="1"/>
    <col min="45" max="46" width="4.7265625" customWidth="1"/>
    <col min="47" max="52" width="6.26953125" customWidth="1"/>
    <col min="53" max="53" width="22.7265625" customWidth="1"/>
  </cols>
  <sheetData>
    <row r="1" spans="1:53" s="15" customFormat="1" ht="40" customHeight="1" thickBot="1">
      <c r="C1" s="191" t="s">
        <v>59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28"/>
      <c r="AC1" s="100" t="s">
        <v>52</v>
      </c>
      <c r="AD1" s="94"/>
      <c r="AE1" s="100">
        <v>45773</v>
      </c>
      <c r="AF1" s="94"/>
      <c r="AG1" s="94"/>
      <c r="AH1" s="94"/>
      <c r="AI1" s="94"/>
      <c r="AJ1" s="94"/>
      <c r="AK1" s="94"/>
      <c r="AL1" s="94"/>
      <c r="AM1" s="94"/>
      <c r="AN1" s="28"/>
      <c r="AO1" s="94"/>
      <c r="AP1" s="94"/>
      <c r="AQ1" s="94"/>
      <c r="AR1" s="94"/>
      <c r="AS1" s="28"/>
      <c r="AT1" s="121"/>
      <c r="AU1" s="36" t="s">
        <v>53</v>
      </c>
      <c r="AV1" s="48"/>
      <c r="AW1" s="124"/>
      <c r="AX1" s="126" t="s">
        <v>58</v>
      </c>
      <c r="AY1" s="119"/>
      <c r="AZ1" s="119"/>
    </row>
    <row r="2" spans="1:53" ht="13.5" thickBot="1">
      <c r="C2" s="188" t="s">
        <v>2</v>
      </c>
      <c r="D2" s="189"/>
      <c r="E2" s="188">
        <v>1</v>
      </c>
      <c r="F2" s="166"/>
      <c r="G2" s="166"/>
      <c r="H2" s="169">
        <v>2</v>
      </c>
      <c r="I2" s="166"/>
      <c r="J2" s="166"/>
      <c r="K2" s="169">
        <v>3</v>
      </c>
      <c r="L2" s="166"/>
      <c r="M2" s="166"/>
      <c r="N2" s="169">
        <v>4</v>
      </c>
      <c r="O2" s="166"/>
      <c r="P2" s="166"/>
      <c r="Q2" s="169">
        <v>5</v>
      </c>
      <c r="R2" s="166"/>
      <c r="S2" s="166"/>
      <c r="T2" s="169">
        <v>6</v>
      </c>
      <c r="U2" s="166"/>
      <c r="V2" s="189"/>
      <c r="W2" s="165" t="s">
        <v>3</v>
      </c>
      <c r="X2" s="166"/>
      <c r="Y2" s="166"/>
      <c r="Z2" s="169" t="s">
        <v>4</v>
      </c>
      <c r="AA2" s="170" t="s">
        <v>5</v>
      </c>
      <c r="AC2" s="4" t="s">
        <v>10</v>
      </c>
      <c r="AP2" s="38"/>
      <c r="AQ2" s="49"/>
      <c r="AS2" t="s">
        <v>57</v>
      </c>
      <c r="AT2" s="122"/>
      <c r="AU2" s="70" t="s">
        <v>55</v>
      </c>
      <c r="AV2" s="71" t="s">
        <v>56</v>
      </c>
      <c r="AW2" s="125"/>
      <c r="AX2" s="120" t="s">
        <v>55</v>
      </c>
      <c r="AY2" s="120" t="s">
        <v>56</v>
      </c>
      <c r="AZ2" s="120" t="s">
        <v>54</v>
      </c>
    </row>
    <row r="3" spans="1:53" ht="13.5" thickBot="1">
      <c r="A3"/>
      <c r="B3"/>
      <c r="C3" s="190"/>
      <c r="D3" s="171"/>
      <c r="E3" s="19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71"/>
      <c r="W3" s="167"/>
      <c r="X3" s="168"/>
      <c r="Y3" s="168"/>
      <c r="Z3" s="168"/>
      <c r="AA3" s="171"/>
      <c r="AC3" s="39" t="str">
        <f>D5</f>
        <v>Voráč Pavel</v>
      </c>
      <c r="AD3" s="51" t="s">
        <v>8</v>
      </c>
      <c r="AE3" s="53" t="str">
        <f>D15</f>
        <v>Luhan Adam</v>
      </c>
      <c r="AF3" s="20" t="s">
        <v>101</v>
      </c>
      <c r="AG3" s="21" t="s">
        <v>102</v>
      </c>
      <c r="AH3" s="21" t="s">
        <v>103</v>
      </c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IF(ISBLANK($AB$4),$A$4,0)</f>
        <v>1</v>
      </c>
      <c r="AQ3" s="37">
        <f>IF(ISBLANK($AB$14),$A$14,0)</f>
        <v>12</v>
      </c>
      <c r="AR3" s="2" t="str">
        <f>CONCATENATE(AP3,"-",AQ3)</f>
        <v>1-12</v>
      </c>
      <c r="AS3">
        <f>$A$8</f>
        <v>8</v>
      </c>
      <c r="AT3" s="123"/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33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18</v>
      </c>
      <c r="AW3" s="123"/>
    </row>
    <row r="4" spans="1:53">
      <c r="A4" s="172">
        <v>1</v>
      </c>
      <c r="B4" s="24"/>
      <c r="C4" s="133">
        <v>1</v>
      </c>
      <c r="D4" s="33" t="str">
        <f>IF(COUNTIF(seznam!$A$2:$A$25,A4)=1,VLOOKUP(A4,seznam!$A$2:$C$25,3,FALSE),"------")</f>
        <v>KST Blansko</v>
      </c>
      <c r="E4" s="140"/>
      <c r="F4" s="141"/>
      <c r="G4" s="142"/>
      <c r="H4" s="152">
        <f>AK12</f>
        <v>3</v>
      </c>
      <c r="I4" s="146" t="s">
        <v>6</v>
      </c>
      <c r="J4" s="153">
        <f>AM12</f>
        <v>0</v>
      </c>
      <c r="K4" s="152">
        <f>AM18</f>
        <v>3</v>
      </c>
      <c r="L4" s="146" t="s">
        <v>6</v>
      </c>
      <c r="M4" s="153">
        <f>AK18</f>
        <v>0</v>
      </c>
      <c r="N4" s="152">
        <f>AK25</f>
        <v>3</v>
      </c>
      <c r="O4" s="146" t="s">
        <v>6</v>
      </c>
      <c r="P4" s="146">
        <f>AM25</f>
        <v>0</v>
      </c>
      <c r="Q4" s="152">
        <f>AM33</f>
        <v>3</v>
      </c>
      <c r="R4" s="146" t="s">
        <v>6</v>
      </c>
      <c r="S4" s="153">
        <f>AK33</f>
        <v>0</v>
      </c>
      <c r="T4" s="152">
        <f>AK3</f>
        <v>3</v>
      </c>
      <c r="U4" s="146" t="s">
        <v>6</v>
      </c>
      <c r="V4" s="186">
        <f>AM3</f>
        <v>0</v>
      </c>
      <c r="W4" s="135">
        <f>H4+K4+N4+Q4+T4</f>
        <v>15</v>
      </c>
      <c r="X4" s="154" t="s">
        <v>6</v>
      </c>
      <c r="Y4" s="137">
        <f>J4+M4+P4+S4+V4</f>
        <v>0</v>
      </c>
      <c r="Z4" s="187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85">
        <v>1</v>
      </c>
      <c r="AB4" s="192"/>
      <c r="AC4" s="40" t="str">
        <f>D7</f>
        <v>Spěvák Šimon</v>
      </c>
      <c r="AD4" s="7" t="s">
        <v>8</v>
      </c>
      <c r="AE4" s="54" t="str">
        <f>D13</f>
        <v>Šimon Samuel</v>
      </c>
      <c r="AF4" s="22" t="s">
        <v>105</v>
      </c>
      <c r="AG4" s="19" t="s">
        <v>107</v>
      </c>
      <c r="AH4" s="19" t="s">
        <v>108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IF(ISBLANK($AB$6),$A$6,0)</f>
        <v>10</v>
      </c>
      <c r="AQ4" s="37">
        <f>IF(ISBLANK($AB$12),$A$12,0)</f>
        <v>3</v>
      </c>
      <c r="AR4" s="2" t="str">
        <f t="shared" ref="AR4:AR36" si="3">CONCATENATE(AP4,"-",AQ4)</f>
        <v>10-3</v>
      </c>
      <c r="AS4">
        <f>$A$10</f>
        <v>6</v>
      </c>
      <c r="AT4" s="123"/>
      <c r="AU4">
        <f t="shared" si="1"/>
        <v>27</v>
      </c>
      <c r="AV4">
        <f t="shared" si="2"/>
        <v>34</v>
      </c>
      <c r="AW4" s="123"/>
      <c r="AX4" s="120" cm="1">
        <f t="array" aca="1" ref="AX4" ca="1">SUMIF($AP$3:$AP$36,INDIRECT(ADDRESS(ROW(),1)),$AU$3:$AU$36) + SUMIF($AQ$3:$AQ$36,INDIRECT(ADDRESS(ROW(),1)),$AV$3:$AV$36)</f>
        <v>165</v>
      </c>
      <c r="AY4" s="120" cm="1">
        <f t="array" aca="1" ref="AY4" ca="1">SUMIF($AP$3:$AP$36,INDIRECT(ADDRESS(ROW(),1)),$AV$3:$AV$36) + SUMIF($AQ$3:$AQ$36,INDIRECT(ADDRESS(ROW(),1)),$AU$3:$AU$36)</f>
        <v>86</v>
      </c>
      <c r="AZ4" s="120">
        <f ca="1">IFERROR(AX4/AY4,"")</f>
        <v>1.9186046511627908</v>
      </c>
      <c r="BA4" t="str">
        <f>IF(AND(ISBLANK($AB4),$A4&gt;0),IF(VLOOKUP($A4,seznam!$A$2:$C$197,2)&gt;0,VLOOKUP($A4,seznam!$A$2:$C$197,2),"------"),"------")</f>
        <v>Voráč Pavel</v>
      </c>
    </row>
    <row r="5" spans="1:53">
      <c r="A5" s="173"/>
      <c r="B5"/>
      <c r="C5" s="134"/>
      <c r="D5" s="31" t="str">
        <f>IF(COUNTIF(seznam!$A$2:$A$25,A4)=1,VLOOKUP(A4,seznam!$A$2:$C$25,2,FALSE),"------")</f>
        <v>Voráč Pavel</v>
      </c>
      <c r="E5" s="143"/>
      <c r="F5" s="144"/>
      <c r="G5" s="145"/>
      <c r="H5" s="151"/>
      <c r="I5" s="130"/>
      <c r="J5" s="138"/>
      <c r="K5" s="151"/>
      <c r="L5" s="130"/>
      <c r="M5" s="138"/>
      <c r="N5" s="151"/>
      <c r="O5" s="130"/>
      <c r="P5" s="148"/>
      <c r="Q5" s="151"/>
      <c r="R5" s="130"/>
      <c r="S5" s="138"/>
      <c r="T5" s="151"/>
      <c r="U5" s="130"/>
      <c r="V5" s="157"/>
      <c r="W5" s="136"/>
      <c r="X5" s="148"/>
      <c r="Y5" s="138"/>
      <c r="Z5" s="132"/>
      <c r="AA5" s="164"/>
      <c r="AB5" s="193"/>
      <c r="AC5" s="40" t="str">
        <f>D9</f>
        <v>Látal Jan</v>
      </c>
      <c r="AD5" s="7" t="s">
        <v>8</v>
      </c>
      <c r="AE5" s="54" t="str">
        <f>D11</f>
        <v>Tomeček Richard</v>
      </c>
      <c r="AF5" s="22" t="s">
        <v>103</v>
      </c>
      <c r="AG5" s="19" t="s">
        <v>111</v>
      </c>
      <c r="AH5" s="19" t="s">
        <v>104</v>
      </c>
      <c r="AI5" s="19" t="s">
        <v>102</v>
      </c>
      <c r="AJ5" s="52"/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3</v>
      </c>
      <c r="AL5" s="13" t="s">
        <v>6</v>
      </c>
      <c r="AM5" s="27">
        <f t="shared" si="0"/>
        <v>1</v>
      </c>
      <c r="AN5" s="35"/>
      <c r="AO5" s="37"/>
      <c r="AP5" s="37">
        <f>IF(ISBLANK($AB$8),$A$8,0)</f>
        <v>8</v>
      </c>
      <c r="AQ5" s="37">
        <f>IF(ISBLANK($AB$10),$A$10,0)</f>
        <v>6</v>
      </c>
      <c r="AR5" s="2" t="str">
        <f t="shared" si="3"/>
        <v>8-6</v>
      </c>
      <c r="AS5">
        <f>$A$4</f>
        <v>1</v>
      </c>
      <c r="AT5" s="123"/>
      <c r="AU5">
        <f t="shared" si="1"/>
        <v>37</v>
      </c>
      <c r="AV5">
        <f t="shared" si="2"/>
        <v>23</v>
      </c>
      <c r="AW5" s="123"/>
      <c r="AX5" s="120"/>
      <c r="AY5" s="120"/>
      <c r="AZ5" s="120"/>
    </row>
    <row r="6" spans="1:53">
      <c r="A6" s="172">
        <v>10</v>
      </c>
      <c r="B6" s="24"/>
      <c r="C6" s="139">
        <v>2</v>
      </c>
      <c r="D6" s="34" t="str">
        <f>IF(COUNTIF(seznam!$A$2:$A$25,A6)=1,VLOOKUP(A6,seznam!$A$2:$C$25,3,FALSE),"------")</f>
        <v>KST FOSFA LVA</v>
      </c>
      <c r="E6" s="149">
        <f>AM12</f>
        <v>0</v>
      </c>
      <c r="F6" s="129" t="s">
        <v>6</v>
      </c>
      <c r="G6" s="147">
        <f>AK12</f>
        <v>3</v>
      </c>
      <c r="H6" s="175"/>
      <c r="I6" s="176"/>
      <c r="J6" s="183"/>
      <c r="K6" s="150">
        <f>AK26</f>
        <v>1</v>
      </c>
      <c r="L6" s="129" t="s">
        <v>6</v>
      </c>
      <c r="M6" s="147">
        <f>AM26</f>
        <v>3</v>
      </c>
      <c r="N6" s="150">
        <f>AM32</f>
        <v>3</v>
      </c>
      <c r="O6" s="129" t="s">
        <v>6</v>
      </c>
      <c r="P6" s="129">
        <f>AK32</f>
        <v>1</v>
      </c>
      <c r="Q6" s="150">
        <f>AK4</f>
        <v>0</v>
      </c>
      <c r="R6" s="129" t="s">
        <v>6</v>
      </c>
      <c r="S6" s="147">
        <f>AM4</f>
        <v>3</v>
      </c>
      <c r="T6" s="150">
        <f>AK17</f>
        <v>3</v>
      </c>
      <c r="U6" s="129" t="s">
        <v>6</v>
      </c>
      <c r="V6" s="156">
        <f>AM17</f>
        <v>2</v>
      </c>
      <c r="W6" s="149">
        <f>E6+K6+N6+Q6+T6</f>
        <v>7</v>
      </c>
      <c r="X6" s="129" t="s">
        <v>6</v>
      </c>
      <c r="Y6" s="147">
        <f>G6+M6+P6+S6+V6</f>
        <v>12</v>
      </c>
      <c r="Z6" s="131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7</v>
      </c>
      <c r="AA6" s="159">
        <v>4</v>
      </c>
      <c r="AB6" s="192"/>
      <c r="AC6" s="40" t="str">
        <f>D20</f>
        <v>Peťura Patrik</v>
      </c>
      <c r="AD6" s="7"/>
      <c r="AE6" s="54" t="str">
        <f>D30</f>
        <v>Plotzer Robin</v>
      </c>
      <c r="AF6" s="22" t="s">
        <v>98</v>
      </c>
      <c r="AG6" s="19" t="s">
        <v>99</v>
      </c>
      <c r="AH6" s="19" t="s">
        <v>100</v>
      </c>
      <c r="AI6" s="19"/>
      <c r="AJ6" s="52"/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0</v>
      </c>
      <c r="AN6" s="35"/>
      <c r="AO6" s="37"/>
      <c r="AP6" s="37">
        <f>IF(ISBLANK($AB$19),$A$19,0)</f>
        <v>2</v>
      </c>
      <c r="AQ6" s="37">
        <f>IF(ISBLANK($AB$29),$A$29,0)</f>
        <v>11</v>
      </c>
      <c r="AR6" s="2" t="str">
        <f t="shared" si="3"/>
        <v>2-11</v>
      </c>
      <c r="AS6">
        <f>$A$23</f>
        <v>7</v>
      </c>
      <c r="AT6" s="123"/>
      <c r="AU6">
        <f t="shared" si="1"/>
        <v>33</v>
      </c>
      <c r="AV6">
        <f t="shared" si="2"/>
        <v>15</v>
      </c>
      <c r="AW6" s="123"/>
      <c r="AX6" s="120" cm="1">
        <f t="array" aca="1" ref="AX6" ca="1">SUMIF($AP$3:$AP$36,INDIRECT(ADDRESS(ROW(),1)),$AU$3:$AU$36) + SUMIF($AQ$3:$AQ$36,INDIRECT(ADDRESS(ROW(),1)),$AV$3:$AV$36)</f>
        <v>179</v>
      </c>
      <c r="AY6" s="120" cm="1">
        <f t="array" aca="1" ref="AY6" ca="1">SUMIF($AP$3:$AP$36,INDIRECT(ADDRESS(ROW(),1)),$AV$3:$AV$36) + SUMIF($AQ$3:$AQ$36,INDIRECT(ADDRESS(ROW(),1)),$AU$3:$AU$36)</f>
        <v>192</v>
      </c>
      <c r="AZ6" s="120">
        <f ca="1">IFERROR(AX6/AY6,"")</f>
        <v>0.93229166666666663</v>
      </c>
      <c r="BA6" t="str">
        <f>IF(AND(ISBLANK($AB6),$A6&gt;0),IF(VLOOKUP($A6,seznam!$A$2:$C$197,2)&gt;0,VLOOKUP($A6,seznam!$A$2:$C$197,2),"------"),"------")</f>
        <v>Spěvák Šimon</v>
      </c>
    </row>
    <row r="7" spans="1:53">
      <c r="A7" s="173"/>
      <c r="B7"/>
      <c r="C7" s="134"/>
      <c r="D7" s="31" t="str">
        <f>IF(COUNTIF(seznam!$A$2:$A$25,A6)=1,VLOOKUP(A6,seznam!$A$2:$C$25,2,FALSE),"------")</f>
        <v>Spěvák Šimon</v>
      </c>
      <c r="E7" s="136"/>
      <c r="F7" s="130"/>
      <c r="G7" s="138"/>
      <c r="H7" s="184"/>
      <c r="I7" s="144"/>
      <c r="J7" s="145"/>
      <c r="K7" s="151"/>
      <c r="L7" s="130"/>
      <c r="M7" s="138"/>
      <c r="N7" s="151"/>
      <c r="O7" s="130"/>
      <c r="P7" s="148"/>
      <c r="Q7" s="151"/>
      <c r="R7" s="130"/>
      <c r="S7" s="138"/>
      <c r="T7" s="151"/>
      <c r="U7" s="130"/>
      <c r="V7" s="157"/>
      <c r="W7" s="136"/>
      <c r="X7" s="130"/>
      <c r="Y7" s="138"/>
      <c r="Z7" s="132"/>
      <c r="AA7" s="164"/>
      <c r="AB7" s="193"/>
      <c r="AC7" s="40" t="str">
        <f>D22</f>
        <v>Ides Samuel Hugo</v>
      </c>
      <c r="AD7" s="7"/>
      <c r="AE7" s="54" t="str">
        <f>D28</f>
        <v>Kmenta Josef</v>
      </c>
      <c r="AF7" s="22" t="s">
        <v>108</v>
      </c>
      <c r="AG7" s="19" t="s">
        <v>105</v>
      </c>
      <c r="AH7" s="19" t="s">
        <v>104</v>
      </c>
      <c r="AI7" s="19"/>
      <c r="AJ7" s="52"/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0</v>
      </c>
      <c r="AL7" s="13" t="s">
        <v>6</v>
      </c>
      <c r="AM7" s="27">
        <f t="shared" si="0"/>
        <v>3</v>
      </c>
      <c r="AO7" s="37"/>
      <c r="AP7" s="37">
        <f>IF(ISBLANK($AB$21),$A$21,0)</f>
        <v>9</v>
      </c>
      <c r="AQ7" s="3">
        <f>IF(ISBLANK($AB$27),$A$27,0)</f>
        <v>4</v>
      </c>
      <c r="AR7" s="2" t="str">
        <f t="shared" si="3"/>
        <v>9-4</v>
      </c>
      <c r="AS7">
        <f>$A$25</f>
        <v>5</v>
      </c>
      <c r="AT7" s="123"/>
      <c r="AU7">
        <f t="shared" si="1"/>
        <v>21</v>
      </c>
      <c r="AV7">
        <f t="shared" si="2"/>
        <v>33</v>
      </c>
      <c r="AW7" s="123"/>
      <c r="AX7" s="120"/>
      <c r="AY7" s="120"/>
      <c r="AZ7" s="120"/>
    </row>
    <row r="8" spans="1:53" ht="13.5" thickBot="1">
      <c r="A8" s="172">
        <v>8</v>
      </c>
      <c r="B8" s="24"/>
      <c r="C8" s="139">
        <v>3</v>
      </c>
      <c r="D8" s="34" t="str">
        <f>IF(COUNTIF(seznam!$A$2:$A$25,A8)=1,VLOOKUP(A8,seznam!$A$2:$C$25,3,FALSE),"------")</f>
        <v>Jiskra Strážnice</v>
      </c>
      <c r="E8" s="149">
        <f>AK18</f>
        <v>0</v>
      </c>
      <c r="F8" s="129" t="s">
        <v>6</v>
      </c>
      <c r="G8" s="147">
        <f>AM18</f>
        <v>3</v>
      </c>
      <c r="H8" s="150">
        <f>AM26</f>
        <v>3</v>
      </c>
      <c r="I8" s="129" t="s">
        <v>6</v>
      </c>
      <c r="J8" s="147">
        <f>AK26</f>
        <v>1</v>
      </c>
      <c r="K8" s="175"/>
      <c r="L8" s="176"/>
      <c r="M8" s="183"/>
      <c r="N8" s="150">
        <f>AK5</f>
        <v>3</v>
      </c>
      <c r="O8" s="129" t="s">
        <v>6</v>
      </c>
      <c r="P8" s="129">
        <f>AM5</f>
        <v>1</v>
      </c>
      <c r="Q8" s="150">
        <f>AM11</f>
        <v>1</v>
      </c>
      <c r="R8" s="129" t="s">
        <v>6</v>
      </c>
      <c r="S8" s="147">
        <f>AK11</f>
        <v>3</v>
      </c>
      <c r="T8" s="150">
        <f>AK31</f>
        <v>3</v>
      </c>
      <c r="U8" s="129" t="s">
        <v>6</v>
      </c>
      <c r="V8" s="156">
        <f>AM31</f>
        <v>1</v>
      </c>
      <c r="W8" s="149">
        <f>H8+E8+N8+Q8+T8</f>
        <v>10</v>
      </c>
      <c r="X8" s="129" t="s">
        <v>6</v>
      </c>
      <c r="Y8" s="147">
        <f>J8+G8+P8+S8+V8</f>
        <v>9</v>
      </c>
      <c r="Z8" s="131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59">
        <v>3</v>
      </c>
      <c r="AB8" s="192"/>
      <c r="AC8" s="41" t="str">
        <f>D24</f>
        <v>Pantlík Daniel</v>
      </c>
      <c r="AD8" s="42"/>
      <c r="AE8" s="55" t="str">
        <f>D26</f>
        <v>Omelka Marek</v>
      </c>
      <c r="AF8" s="43" t="s">
        <v>106</v>
      </c>
      <c r="AG8" s="44" t="s">
        <v>113</v>
      </c>
      <c r="AH8" s="44" t="s">
        <v>114</v>
      </c>
      <c r="AI8" s="44" t="s">
        <v>105</v>
      </c>
      <c r="AJ8" s="57"/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1</v>
      </c>
      <c r="AL8" s="46" t="s">
        <v>6</v>
      </c>
      <c r="AM8" s="47">
        <f t="shared" si="0"/>
        <v>3</v>
      </c>
      <c r="AN8" s="35"/>
      <c r="AO8" s="37"/>
      <c r="AP8" s="37">
        <f>IF(ISBLANK($AB$23),$A$23,0)</f>
        <v>7</v>
      </c>
      <c r="AQ8" s="37">
        <f>IF(ISBLANK($AB$25),$A$25,0)</f>
        <v>5</v>
      </c>
      <c r="AR8" s="2" t="str">
        <f t="shared" si="3"/>
        <v>7-5</v>
      </c>
      <c r="AS8">
        <f>$A$19</f>
        <v>2</v>
      </c>
      <c r="AT8" s="123"/>
      <c r="AU8">
        <f t="shared" si="1"/>
        <v>34</v>
      </c>
      <c r="AV8">
        <f t="shared" si="2"/>
        <v>47</v>
      </c>
      <c r="AW8" s="123"/>
      <c r="AX8" s="120" cm="1">
        <f t="array" aca="1" ref="AX8" ca="1">SUMIF($AP$3:$AP$36,INDIRECT(ADDRESS(ROW(),1)),$AU$3:$AU$36) + SUMIF($AQ$3:$AQ$36,INDIRECT(ADDRESS(ROW(),1)),$AV$3:$AV$36)</f>
        <v>166</v>
      </c>
      <c r="AY8" s="120" cm="1">
        <f t="array" aca="1" ref="AY8" ca="1">SUMIF($AP$3:$AP$36,INDIRECT(ADDRESS(ROW(),1)),$AV$3:$AV$36) + SUMIF($AQ$3:$AQ$36,INDIRECT(ADDRESS(ROW(),1)),$AU$3:$AU$36)</f>
        <v>169</v>
      </c>
      <c r="AZ8" s="120">
        <f ca="1">IFERROR(AX8/AY8,"")</f>
        <v>0.98224852071005919</v>
      </c>
      <c r="BA8" t="str">
        <f>IF(AND(ISBLANK($AB8),$A8&gt;0),IF(VLOOKUP($A8,seznam!$A$2:$C$197,2)&gt;0,VLOOKUP($A8,seznam!$A$2:$C$197,2),"------"),"------")</f>
        <v>Látal Jan</v>
      </c>
    </row>
    <row r="9" spans="1:53" ht="13.5" thickBot="1">
      <c r="A9" s="173"/>
      <c r="B9"/>
      <c r="C9" s="134"/>
      <c r="D9" s="31" t="str">
        <f>IF(COUNTIF(seznam!$A$2:$A$25,A8)=1,VLOOKUP(A8,seznam!$A$2:$C$25,2,FALSE),"------")</f>
        <v>Látal Jan</v>
      </c>
      <c r="E9" s="136"/>
      <c r="F9" s="130"/>
      <c r="G9" s="138"/>
      <c r="H9" s="151"/>
      <c r="I9" s="130"/>
      <c r="J9" s="138"/>
      <c r="K9" s="184"/>
      <c r="L9" s="144"/>
      <c r="M9" s="145"/>
      <c r="N9" s="151"/>
      <c r="O9" s="130"/>
      <c r="P9" s="148"/>
      <c r="Q9" s="151"/>
      <c r="R9" s="130"/>
      <c r="S9" s="138"/>
      <c r="T9" s="151"/>
      <c r="U9" s="130"/>
      <c r="V9" s="157"/>
      <c r="W9" s="136"/>
      <c r="X9" s="148"/>
      <c r="Y9" s="138"/>
      <c r="Z9" s="132"/>
      <c r="AA9" s="164"/>
      <c r="AB9" s="193"/>
      <c r="AC9" s="4" t="s">
        <v>11</v>
      </c>
      <c r="AN9" s="35"/>
      <c r="AO9" s="37"/>
      <c r="AP9" s="37"/>
      <c r="AQ9" s="37"/>
      <c r="AT9" s="123"/>
      <c r="AW9" s="123"/>
      <c r="AX9" s="120"/>
      <c r="AY9" s="120"/>
      <c r="AZ9" s="120"/>
    </row>
    <row r="10" spans="1:53">
      <c r="A10" s="172">
        <v>6</v>
      </c>
      <c r="B10" s="24"/>
      <c r="C10" s="139">
        <v>4</v>
      </c>
      <c r="D10" s="34" t="str">
        <f>IF(COUNTIF(seznam!$A$2:$A$25,A10)=1,VLOOKUP(A10,seznam!$A$2:$C$25,3,FALSE),"------")</f>
        <v>Jiskra Strážnice</v>
      </c>
      <c r="E10" s="149">
        <f>AM25</f>
        <v>0</v>
      </c>
      <c r="F10" s="129" t="s">
        <v>6</v>
      </c>
      <c r="G10" s="147">
        <f>AK25</f>
        <v>3</v>
      </c>
      <c r="H10" s="150">
        <f>AK32</f>
        <v>1</v>
      </c>
      <c r="I10" s="129" t="s">
        <v>6</v>
      </c>
      <c r="J10" s="147">
        <f>AM32</f>
        <v>3</v>
      </c>
      <c r="K10" s="150">
        <f>AM5</f>
        <v>1</v>
      </c>
      <c r="L10" s="129" t="s">
        <v>6</v>
      </c>
      <c r="M10" s="147">
        <f>AK5</f>
        <v>3</v>
      </c>
      <c r="N10" s="175"/>
      <c r="O10" s="176"/>
      <c r="P10" s="176"/>
      <c r="Q10" s="150">
        <f>AK19</f>
        <v>0</v>
      </c>
      <c r="R10" s="129" t="s">
        <v>6</v>
      </c>
      <c r="S10" s="147">
        <f>AM19</f>
        <v>3</v>
      </c>
      <c r="T10" s="150">
        <f>AM10</f>
        <v>3</v>
      </c>
      <c r="U10" s="129" t="s">
        <v>6</v>
      </c>
      <c r="V10" s="156">
        <f>AK10</f>
        <v>1</v>
      </c>
      <c r="W10" s="149">
        <f>H10+K10+E10+Q10+T10</f>
        <v>5</v>
      </c>
      <c r="X10" s="129" t="s">
        <v>6</v>
      </c>
      <c r="Y10" s="147">
        <f>J10+M10+G10+S10+V10</f>
        <v>13</v>
      </c>
      <c r="Z10" s="131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6</v>
      </c>
      <c r="AA10" s="159">
        <v>5</v>
      </c>
      <c r="AB10" s="192"/>
      <c r="AC10" s="39" t="str">
        <f>D15</f>
        <v>Luhan Adam</v>
      </c>
      <c r="AD10" s="51" t="s">
        <v>8</v>
      </c>
      <c r="AE10" s="53" t="str">
        <f>D11</f>
        <v>Tomeček Richard</v>
      </c>
      <c r="AF10" s="20" t="s">
        <v>109</v>
      </c>
      <c r="AG10" s="21" t="s">
        <v>116</v>
      </c>
      <c r="AH10" s="21" t="s">
        <v>117</v>
      </c>
      <c r="AI10" s="21" t="s">
        <v>109</v>
      </c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1</v>
      </c>
      <c r="AL10" s="11" t="s">
        <v>6</v>
      </c>
      <c r="AM10" s="12">
        <f t="shared" ref="AM10:AM15" si="4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IF(ISBLANK($AB$14),$A$14,0)</f>
        <v>12</v>
      </c>
      <c r="AQ10" s="37">
        <f>IF(ISBLANK($AB$10),$A$10,0)</f>
        <v>6</v>
      </c>
      <c r="AR10" s="2" t="str">
        <f t="shared" si="3"/>
        <v>12-6</v>
      </c>
      <c r="AS10">
        <f>$A$12</f>
        <v>3</v>
      </c>
      <c r="AT10" s="123"/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35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47</v>
      </c>
      <c r="AW10" s="123"/>
      <c r="AX10" s="120" cm="1">
        <f t="array" aca="1" ref="AX10" ca="1">SUMIF($AP$3:$AP$36,INDIRECT(ADDRESS(ROW(),1)),$AU$3:$AU$36) + SUMIF($AQ$3:$AQ$36,INDIRECT(ADDRESS(ROW(),1)),$AV$3:$AV$36)</f>
        <v>141</v>
      </c>
      <c r="AY10" s="120" cm="1">
        <f t="array" aca="1" ref="AY10" ca="1">SUMIF($AP$3:$AP$36,INDIRECT(ADDRESS(ROW(),1)),$AV$3:$AV$36) + SUMIF($AQ$3:$AQ$36,INDIRECT(ADDRESS(ROW(),1)),$AU$3:$AU$36)</f>
        <v>181</v>
      </c>
      <c r="AZ10" s="120">
        <f ca="1">IFERROR(AX10/AY10,"")</f>
        <v>0.77900552486187846</v>
      </c>
      <c r="BA10" t="str">
        <f>IF(AND(ISBLANK($AB10),$A10&gt;0),IF(VLOOKUP($A10,seznam!$A$2:$C$197,2)&gt;0,VLOOKUP($A10,seznam!$A$2:$C$197,2),"------"),"------")</f>
        <v>Tomeček Richard</v>
      </c>
    </row>
    <row r="11" spans="1:53">
      <c r="A11" s="173"/>
      <c r="B11"/>
      <c r="C11" s="134"/>
      <c r="D11" s="31" t="str">
        <f>IF(COUNTIF(seznam!$A$2:$A$25,A10)=1,VLOOKUP(A10,seznam!$A$2:$C$25,2,FALSE),"------")</f>
        <v>Tomeček Richard</v>
      </c>
      <c r="E11" s="136"/>
      <c r="F11" s="130"/>
      <c r="G11" s="138"/>
      <c r="H11" s="151"/>
      <c r="I11" s="130"/>
      <c r="J11" s="138"/>
      <c r="K11" s="151"/>
      <c r="L11" s="130"/>
      <c r="M11" s="138"/>
      <c r="N11" s="184"/>
      <c r="O11" s="144"/>
      <c r="P11" s="144"/>
      <c r="Q11" s="151"/>
      <c r="R11" s="130"/>
      <c r="S11" s="138"/>
      <c r="T11" s="151"/>
      <c r="U11" s="130"/>
      <c r="V11" s="157"/>
      <c r="W11" s="136"/>
      <c r="X11" s="148"/>
      <c r="Y11" s="138"/>
      <c r="Z11" s="132"/>
      <c r="AA11" s="164"/>
      <c r="AB11" s="193"/>
      <c r="AC11" s="40" t="str">
        <f>D13</f>
        <v>Šimon Samuel</v>
      </c>
      <c r="AD11" s="7" t="s">
        <v>8</v>
      </c>
      <c r="AE11" s="54" t="str">
        <f>D9</f>
        <v>Látal Jan</v>
      </c>
      <c r="AF11" s="22" t="s">
        <v>102</v>
      </c>
      <c r="AG11" s="19" t="s">
        <v>102</v>
      </c>
      <c r="AH11" s="19" t="s">
        <v>107</v>
      </c>
      <c r="AI11" s="19" t="s">
        <v>99</v>
      </c>
      <c r="AJ11" s="52"/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4"/>
        <v>1</v>
      </c>
      <c r="AN11" s="35"/>
      <c r="AO11" s="37"/>
      <c r="AP11" s="37">
        <f>IF(ISBLANK($AB$12),$A$12,0)</f>
        <v>3</v>
      </c>
      <c r="AQ11" s="37">
        <f>IF(ISBLANK($AB$8),$A$8,0)</f>
        <v>8</v>
      </c>
      <c r="AR11" s="2" t="str">
        <f t="shared" si="3"/>
        <v>3-8</v>
      </c>
      <c r="AS11">
        <f>$A$6</f>
        <v>10</v>
      </c>
      <c r="AT11" s="123"/>
      <c r="AU11">
        <f t="shared" si="5"/>
        <v>43</v>
      </c>
      <c r="AV11">
        <f t="shared" si="6"/>
        <v>31</v>
      </c>
      <c r="AW11" s="123"/>
      <c r="AX11" s="120"/>
      <c r="AY11" s="120"/>
      <c r="AZ11" s="120"/>
    </row>
    <row r="12" spans="1:53">
      <c r="A12" s="172">
        <v>3</v>
      </c>
      <c r="B12" s="24"/>
      <c r="C12" s="139">
        <v>5</v>
      </c>
      <c r="D12" s="34" t="str">
        <f>IF(COUNTIF(seznam!$A$2:$A$25,A12)=1,VLOOKUP(A12,seznam!$A$2:$C$25,3,FALSE),"------")</f>
        <v>KST FOSFA LVA</v>
      </c>
      <c r="E12" s="149">
        <f>AK33</f>
        <v>0</v>
      </c>
      <c r="F12" s="129" t="s">
        <v>6</v>
      </c>
      <c r="G12" s="147">
        <f>AM33</f>
        <v>3</v>
      </c>
      <c r="H12" s="150">
        <f>AM4</f>
        <v>3</v>
      </c>
      <c r="I12" s="129" t="s">
        <v>6</v>
      </c>
      <c r="J12" s="147">
        <f>AK4</f>
        <v>0</v>
      </c>
      <c r="K12" s="150">
        <f>AK11</f>
        <v>3</v>
      </c>
      <c r="L12" s="129" t="s">
        <v>6</v>
      </c>
      <c r="M12" s="147">
        <f>AM11</f>
        <v>1</v>
      </c>
      <c r="N12" s="150">
        <f>AM19</f>
        <v>3</v>
      </c>
      <c r="O12" s="129" t="s">
        <v>6</v>
      </c>
      <c r="P12" s="129">
        <f>AK19</f>
        <v>0</v>
      </c>
      <c r="Q12" s="175"/>
      <c r="R12" s="176"/>
      <c r="S12" s="183"/>
      <c r="T12" s="150">
        <f>AM24</f>
        <v>3</v>
      </c>
      <c r="U12" s="129" t="s">
        <v>6</v>
      </c>
      <c r="V12" s="156">
        <f>AK24</f>
        <v>1</v>
      </c>
      <c r="W12" s="149">
        <f>H12+K12+N12+E12+T12</f>
        <v>12</v>
      </c>
      <c r="X12" s="129" t="s">
        <v>6</v>
      </c>
      <c r="Y12" s="147">
        <f>J12+M12+P12+G12+V12</f>
        <v>5</v>
      </c>
      <c r="Z12" s="131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59">
        <v>2</v>
      </c>
      <c r="AB12" s="192"/>
      <c r="AC12" s="40" t="str">
        <f>D5</f>
        <v>Voráč Pavel</v>
      </c>
      <c r="AD12" s="7" t="s">
        <v>8</v>
      </c>
      <c r="AE12" s="54" t="str">
        <f>D7</f>
        <v>Spěvák Šimon</v>
      </c>
      <c r="AF12" s="22" t="s">
        <v>98</v>
      </c>
      <c r="AG12" s="19" t="s">
        <v>101</v>
      </c>
      <c r="AH12" s="19" t="s">
        <v>99</v>
      </c>
      <c r="AI12" s="19"/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4"/>
        <v>0</v>
      </c>
      <c r="AO12" s="37"/>
      <c r="AP12" s="37">
        <f>IF(ISBLANK($AB$4),$A$4,0)</f>
        <v>1</v>
      </c>
      <c r="AQ12" s="37">
        <f>IF(ISBLANK($AB$6),$A$6,0)</f>
        <v>10</v>
      </c>
      <c r="AR12" s="2" t="str">
        <f t="shared" si="3"/>
        <v>1-10</v>
      </c>
      <c r="AS12">
        <f>$A$14</f>
        <v>12</v>
      </c>
      <c r="AT12" s="123"/>
      <c r="AU12">
        <f t="shared" si="5"/>
        <v>33</v>
      </c>
      <c r="AV12">
        <f t="shared" si="6"/>
        <v>20</v>
      </c>
      <c r="AW12" s="123"/>
      <c r="AX12" s="120" cm="1">
        <f t="array" aca="1" ref="AX12" ca="1">SUMIF($AP$3:$AP$36,INDIRECT(ADDRESS(ROW(),1)),$AU$3:$AU$36) + SUMIF($AQ$3:$AQ$36,INDIRECT(ADDRESS(ROW(),1)),$AV$3:$AV$36)</f>
        <v>177</v>
      </c>
      <c r="AY12" s="120" cm="1">
        <f t="array" aca="1" ref="AY12" ca="1">SUMIF($AP$3:$AP$36,INDIRECT(ADDRESS(ROW(),1)),$AV$3:$AV$36) + SUMIF($AQ$3:$AQ$36,INDIRECT(ADDRESS(ROW(),1)),$AU$3:$AU$36)</f>
        <v>141</v>
      </c>
      <c r="AZ12" s="120">
        <f ca="1">IFERROR(AX12/AY12,"")</f>
        <v>1.2553191489361701</v>
      </c>
      <c r="BA12" t="str">
        <f>IF(AND(ISBLANK($AB12),$A12&gt;0),IF(VLOOKUP($A12,seznam!$A$2:$C$197,2)&gt;0,VLOOKUP($A12,seznam!$A$2:$C$197,2),"------"),"------")</f>
        <v>Šimon Samuel</v>
      </c>
    </row>
    <row r="13" spans="1:53">
      <c r="A13" s="173"/>
      <c r="B13"/>
      <c r="C13" s="134"/>
      <c r="D13" s="31" t="str">
        <f>IF(COUNTIF(seznam!$A$2:$A$25,A12)=1,VLOOKUP(A12,seznam!$A$2:$C$25,2,FALSE),"------")</f>
        <v>Šimon Samuel</v>
      </c>
      <c r="E13" s="136"/>
      <c r="F13" s="130"/>
      <c r="G13" s="138"/>
      <c r="H13" s="151"/>
      <c r="I13" s="130"/>
      <c r="J13" s="138"/>
      <c r="K13" s="151"/>
      <c r="L13" s="130"/>
      <c r="M13" s="138"/>
      <c r="N13" s="151"/>
      <c r="O13" s="130"/>
      <c r="P13" s="148"/>
      <c r="Q13" s="184"/>
      <c r="R13" s="144"/>
      <c r="S13" s="145"/>
      <c r="T13" s="151"/>
      <c r="U13" s="130"/>
      <c r="V13" s="182"/>
      <c r="W13" s="136"/>
      <c r="X13" s="148"/>
      <c r="Y13" s="138"/>
      <c r="Z13" s="132"/>
      <c r="AA13" s="164"/>
      <c r="AB13" s="193"/>
      <c r="AC13" s="40" t="str">
        <f>D30</f>
        <v>Plotzer Robin</v>
      </c>
      <c r="AD13" s="7"/>
      <c r="AE13" s="54" t="str">
        <f>D26</f>
        <v>Omelka Marek</v>
      </c>
      <c r="AF13" s="22" t="s">
        <v>110</v>
      </c>
      <c r="AG13" s="19" t="s">
        <v>104</v>
      </c>
      <c r="AH13" s="19" t="s">
        <v>113</v>
      </c>
      <c r="AI13" s="19" t="s">
        <v>106</v>
      </c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1</v>
      </c>
      <c r="AL13" s="13" t="s">
        <v>6</v>
      </c>
      <c r="AM13" s="27">
        <f t="shared" si="4"/>
        <v>3</v>
      </c>
      <c r="AN13" s="35"/>
      <c r="AO13" s="37"/>
      <c r="AP13" s="37">
        <f>IF(ISBLANK($AB$29),$A$29,0)</f>
        <v>11</v>
      </c>
      <c r="AQ13" s="37">
        <f>IF(ISBLANK($AB$25),$A$25,0)</f>
        <v>5</v>
      </c>
      <c r="AR13" s="2" t="str">
        <f t="shared" si="3"/>
        <v>11-5</v>
      </c>
      <c r="AS13">
        <f>$A$27</f>
        <v>4</v>
      </c>
      <c r="AT13" s="123"/>
      <c r="AU13">
        <f t="shared" si="5"/>
        <v>25</v>
      </c>
      <c r="AV13">
        <f t="shared" si="6"/>
        <v>43</v>
      </c>
      <c r="AW13" s="123"/>
      <c r="AX13" s="120"/>
      <c r="AY13" s="120"/>
      <c r="AZ13" s="120"/>
    </row>
    <row r="14" spans="1:53">
      <c r="A14" s="172">
        <v>12</v>
      </c>
      <c r="B14" s="24"/>
      <c r="C14" s="139">
        <v>6</v>
      </c>
      <c r="D14" s="34" t="str">
        <f>IF(COUNTIF(seznam!$A$2:$A$25,A14)=1,VLOOKUP(A14,seznam!$A$2:$C$25,3,FALSE),"------")</f>
        <v>MSK Břeclav</v>
      </c>
      <c r="E14" s="149">
        <f>AM3</f>
        <v>0</v>
      </c>
      <c r="F14" s="129" t="s">
        <v>6</v>
      </c>
      <c r="G14" s="147">
        <f>AK3</f>
        <v>3</v>
      </c>
      <c r="H14" s="150">
        <f>AM17</f>
        <v>2</v>
      </c>
      <c r="I14" s="129" t="s">
        <v>6</v>
      </c>
      <c r="J14" s="147">
        <f>AK17</f>
        <v>3</v>
      </c>
      <c r="K14" s="150">
        <f>AM31</f>
        <v>1</v>
      </c>
      <c r="L14" s="129" t="s">
        <v>6</v>
      </c>
      <c r="M14" s="147">
        <f>AK31</f>
        <v>3</v>
      </c>
      <c r="N14" s="150">
        <f>AK10</f>
        <v>1</v>
      </c>
      <c r="O14" s="129" t="s">
        <v>6</v>
      </c>
      <c r="P14" s="129">
        <f>AM10</f>
        <v>3</v>
      </c>
      <c r="Q14" s="150">
        <f>AK24</f>
        <v>1</v>
      </c>
      <c r="R14" s="129" t="s">
        <v>6</v>
      </c>
      <c r="S14" s="147">
        <f>AM24</f>
        <v>3</v>
      </c>
      <c r="T14" s="175"/>
      <c r="U14" s="176"/>
      <c r="V14" s="177"/>
      <c r="W14" s="149">
        <f>H14+K14+N14+Q14+E14</f>
        <v>5</v>
      </c>
      <c r="X14" s="129" t="s">
        <v>6</v>
      </c>
      <c r="Y14" s="147">
        <f>J14+M14+P14+S14+G14</f>
        <v>15</v>
      </c>
      <c r="Z14" s="13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59">
        <v>6</v>
      </c>
      <c r="AB14" s="192"/>
      <c r="AC14" s="40" t="str">
        <f>D28</f>
        <v>Kmenta Josef</v>
      </c>
      <c r="AD14" s="7"/>
      <c r="AE14" s="54" t="str">
        <f>D24</f>
        <v>Pantlík Daniel</v>
      </c>
      <c r="AF14" s="22" t="s">
        <v>98</v>
      </c>
      <c r="AG14" s="19" t="s">
        <v>98</v>
      </c>
      <c r="AH14" s="19" t="s">
        <v>98</v>
      </c>
      <c r="AI14" s="19"/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3</v>
      </c>
      <c r="AL14" s="13" t="s">
        <v>6</v>
      </c>
      <c r="AM14" s="27">
        <f t="shared" si="4"/>
        <v>0</v>
      </c>
      <c r="AN14" s="35"/>
      <c r="AO14" s="37"/>
      <c r="AP14" s="3">
        <f>IF(ISBLANK($AB$27),$A$27,0)</f>
        <v>4</v>
      </c>
      <c r="AQ14" s="37">
        <f>IF(ISBLANK($AB$23),$A$23,0)</f>
        <v>7</v>
      </c>
      <c r="AR14" s="2" t="str">
        <f t="shared" si="3"/>
        <v>4-7</v>
      </c>
      <c r="AS14">
        <f>$A$21</f>
        <v>9</v>
      </c>
      <c r="AT14" s="123"/>
      <c r="AU14">
        <f t="shared" si="5"/>
        <v>33</v>
      </c>
      <c r="AV14">
        <f t="shared" si="6"/>
        <v>15</v>
      </c>
      <c r="AW14" s="123"/>
      <c r="AX14" s="120" cm="1">
        <f t="array" aca="1" ref="AX14" ca="1">SUMIF($AP$3:$AP$36,INDIRECT(ADDRESS(ROW(),1)),$AU$3:$AU$36) + SUMIF($AQ$3:$AQ$36,INDIRECT(ADDRESS(ROW(),1)),$AV$3:$AV$36)</f>
        <v>161</v>
      </c>
      <c r="AY14" s="120" cm="1">
        <f t="array" aca="1" ref="AY14" ca="1">SUMIF($AP$3:$AP$36,INDIRECT(ADDRESS(ROW(),1)),$AV$3:$AV$36) + SUMIF($AQ$3:$AQ$36,INDIRECT(ADDRESS(ROW(),1)),$AU$3:$AU$36)</f>
        <v>220</v>
      </c>
      <c r="AZ14" s="120">
        <f ca="1">IFERROR(AX14/AY14,"")</f>
        <v>0.73181818181818181</v>
      </c>
      <c r="BA14" t="str">
        <f>IF(AND(ISBLANK($AB14),$A14&gt;0),IF(VLOOKUP($A14,seznam!$A$2:$C$197,2)&gt;0,VLOOKUP($A14,seznam!$A$2:$C$197,2),"------"),"------")</f>
        <v>Luhan Adam</v>
      </c>
    </row>
    <row r="15" spans="1:53" ht="13.5" thickBot="1">
      <c r="A15" s="173"/>
      <c r="B15"/>
      <c r="C15" s="174"/>
      <c r="D15" s="32" t="str">
        <f>IF(COUNTIF(seznam!$A$2:$A$25,A14)=1,VLOOKUP(A14,seznam!$A$2:$C$25,2,FALSE),"------")</f>
        <v>Luhan Adam</v>
      </c>
      <c r="E15" s="161"/>
      <c r="F15" s="155"/>
      <c r="G15" s="163"/>
      <c r="H15" s="158"/>
      <c r="I15" s="155"/>
      <c r="J15" s="163"/>
      <c r="K15" s="158"/>
      <c r="L15" s="155"/>
      <c r="M15" s="163"/>
      <c r="N15" s="158"/>
      <c r="O15" s="155"/>
      <c r="P15" s="181"/>
      <c r="Q15" s="158"/>
      <c r="R15" s="155"/>
      <c r="S15" s="163"/>
      <c r="T15" s="178"/>
      <c r="U15" s="179"/>
      <c r="V15" s="180"/>
      <c r="W15" s="161"/>
      <c r="X15" s="155"/>
      <c r="Y15" s="163"/>
      <c r="Z15" s="162"/>
      <c r="AA15" s="160"/>
      <c r="AB15" s="193"/>
      <c r="AC15" s="41" t="str">
        <f>D20</f>
        <v>Peťura Patrik</v>
      </c>
      <c r="AD15" s="42"/>
      <c r="AE15" s="55" t="str">
        <f>D22</f>
        <v>Ides Samuel Hugo</v>
      </c>
      <c r="AF15" s="43" t="s">
        <v>118</v>
      </c>
      <c r="AG15" s="44" t="s">
        <v>108</v>
      </c>
      <c r="AH15" s="44" t="s">
        <v>105</v>
      </c>
      <c r="AI15" s="44" t="s">
        <v>112</v>
      </c>
      <c r="AJ15" s="57" t="s">
        <v>111</v>
      </c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4"/>
        <v>2</v>
      </c>
      <c r="AN15" s="35"/>
      <c r="AO15" s="37"/>
      <c r="AP15" s="37">
        <f>IF(ISBLANK($AB$19),$A$19,0)</f>
        <v>2</v>
      </c>
      <c r="AQ15" s="37">
        <f>IF(ISBLANK($AB$21),$A$21,0)</f>
        <v>9</v>
      </c>
      <c r="AR15" s="2" t="str">
        <f t="shared" si="3"/>
        <v>2-9</v>
      </c>
      <c r="AS15">
        <f>$A$29</f>
        <v>11</v>
      </c>
      <c r="AT15" s="123"/>
      <c r="AU15">
        <f t="shared" si="5"/>
        <v>50</v>
      </c>
      <c r="AV15">
        <f t="shared" si="6"/>
        <v>34</v>
      </c>
      <c r="AW15" s="123"/>
      <c r="AX15" s="120"/>
      <c r="AY15" s="120"/>
      <c r="AZ15" s="120"/>
    </row>
    <row r="16" spans="1:53" ht="13.5" thickBot="1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37"/>
      <c r="AT16" s="123"/>
      <c r="AW16" s="123"/>
      <c r="AX16" s="120"/>
      <c r="AY16" s="120"/>
      <c r="AZ16" s="120"/>
    </row>
    <row r="17" spans="1:53">
      <c r="C17" s="188" t="s">
        <v>9</v>
      </c>
      <c r="D17" s="189"/>
      <c r="E17" s="188">
        <v>1</v>
      </c>
      <c r="F17" s="166"/>
      <c r="G17" s="166"/>
      <c r="H17" s="169">
        <v>2</v>
      </c>
      <c r="I17" s="166"/>
      <c r="J17" s="166"/>
      <c r="K17" s="169">
        <v>3</v>
      </c>
      <c r="L17" s="166"/>
      <c r="M17" s="166"/>
      <c r="N17" s="169">
        <v>4</v>
      </c>
      <c r="O17" s="166"/>
      <c r="P17" s="166"/>
      <c r="Q17" s="169">
        <v>5</v>
      </c>
      <c r="R17" s="166"/>
      <c r="S17" s="166"/>
      <c r="T17" s="169">
        <v>6</v>
      </c>
      <c r="U17" s="166"/>
      <c r="V17" s="189"/>
      <c r="W17" s="165" t="s">
        <v>3</v>
      </c>
      <c r="X17" s="166"/>
      <c r="Y17" s="166"/>
      <c r="Z17" s="169"/>
      <c r="AA17" s="170"/>
      <c r="AC17" s="39" t="str">
        <f>D7</f>
        <v>Spěvák Šimon</v>
      </c>
      <c r="AD17" s="51" t="s">
        <v>8</v>
      </c>
      <c r="AE17" s="53" t="str">
        <f>D15</f>
        <v>Luhan Adam</v>
      </c>
      <c r="AF17" s="20" t="s">
        <v>99</v>
      </c>
      <c r="AG17" s="21" t="s">
        <v>115</v>
      </c>
      <c r="AH17" s="21" t="s">
        <v>107</v>
      </c>
      <c r="AI17" s="21" t="s">
        <v>112</v>
      </c>
      <c r="AJ17" s="56" t="s">
        <v>101</v>
      </c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 t="shared" ref="AM17:AM22" si="7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2</v>
      </c>
      <c r="AO17" s="37"/>
      <c r="AP17" s="37">
        <f>IF(ISBLANK($AB$6),$A$6,0)</f>
        <v>10</v>
      </c>
      <c r="AQ17" s="37">
        <f>IF(ISBLANK($AB$14),$A$14,0)</f>
        <v>12</v>
      </c>
      <c r="AR17" s="2" t="str">
        <f t="shared" si="3"/>
        <v>10-12</v>
      </c>
      <c r="AS17">
        <f>$A$10</f>
        <v>6</v>
      </c>
      <c r="AT17" s="123"/>
      <c r="AU17">
        <f t="shared" ref="AU17:AU22" si="8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54</v>
      </c>
      <c r="AV17">
        <f t="shared" ref="AV17:AV22" si="9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49</v>
      </c>
      <c r="AW17" s="123"/>
      <c r="AX17" s="120"/>
      <c r="AY17" s="120"/>
      <c r="AZ17" s="120"/>
    </row>
    <row r="18" spans="1:53" ht="13.5" thickBot="1">
      <c r="A18"/>
      <c r="B18"/>
      <c r="C18" s="190"/>
      <c r="D18" s="171"/>
      <c r="E18" s="190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71"/>
      <c r="W18" s="167"/>
      <c r="X18" s="168"/>
      <c r="Y18" s="168"/>
      <c r="Z18" s="168"/>
      <c r="AA18" s="171"/>
      <c r="AC18" s="40" t="str">
        <f>D9</f>
        <v>Látal Jan</v>
      </c>
      <c r="AD18" s="7" t="s">
        <v>8</v>
      </c>
      <c r="AE18" s="54" t="str">
        <f>D5</f>
        <v>Voráč Pavel</v>
      </c>
      <c r="AF18" s="22" t="s">
        <v>119</v>
      </c>
      <c r="AG18" s="19" t="s">
        <v>106</v>
      </c>
      <c r="AH18" s="19" t="s">
        <v>104</v>
      </c>
      <c r="AI18" s="19"/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0</v>
      </c>
      <c r="AL18" s="13" t="s">
        <v>6</v>
      </c>
      <c r="AM18" s="27">
        <f t="shared" si="7"/>
        <v>3</v>
      </c>
      <c r="AN18" s="35"/>
      <c r="AO18" s="37"/>
      <c r="AP18" s="37">
        <f>IF(ISBLANK($AB$8),$A$8,0)</f>
        <v>8</v>
      </c>
      <c r="AQ18" s="37">
        <f>IF(ISBLANK($AB$4),$A$4,0)</f>
        <v>1</v>
      </c>
      <c r="AR18" s="2" t="str">
        <f t="shared" si="3"/>
        <v>8-1</v>
      </c>
      <c r="AS18">
        <f>$A$12</f>
        <v>3</v>
      </c>
      <c r="AT18" s="123"/>
      <c r="AU18">
        <f t="shared" si="8"/>
        <v>14</v>
      </c>
      <c r="AV18">
        <f t="shared" si="9"/>
        <v>33</v>
      </c>
      <c r="AW18" s="123"/>
      <c r="AX18" s="120"/>
      <c r="AY18" s="120"/>
      <c r="AZ18" s="120"/>
    </row>
    <row r="19" spans="1:53">
      <c r="A19" s="172">
        <v>2</v>
      </c>
      <c r="B19" s="24"/>
      <c r="C19" s="139">
        <v>1</v>
      </c>
      <c r="D19" s="29" t="str">
        <f>IF(COUNTIF(seznam!$A$2:$A$25,A19)=1,VLOOKUP(A19,seznam!$A$2:$C$25,3,FALSE),"------")</f>
        <v>Jiskra Strážnice</v>
      </c>
      <c r="E19" s="140"/>
      <c r="F19" s="141"/>
      <c r="G19" s="142"/>
      <c r="H19" s="152">
        <f>AK15</f>
        <v>3</v>
      </c>
      <c r="I19" s="146" t="s">
        <v>6</v>
      </c>
      <c r="J19" s="153">
        <f>AM15</f>
        <v>2</v>
      </c>
      <c r="K19" s="152">
        <f>AM21</f>
        <v>3</v>
      </c>
      <c r="L19" s="146" t="s">
        <v>6</v>
      </c>
      <c r="M19" s="153">
        <f>AK21</f>
        <v>2</v>
      </c>
      <c r="N19" s="152">
        <f>AK28</f>
        <v>3</v>
      </c>
      <c r="O19" s="146" t="s">
        <v>6</v>
      </c>
      <c r="P19" s="146">
        <f>AM28</f>
        <v>1</v>
      </c>
      <c r="Q19" s="152">
        <f>AM36</f>
        <v>0</v>
      </c>
      <c r="R19" s="146" t="s">
        <v>6</v>
      </c>
      <c r="S19" s="153">
        <f>AK36</f>
        <v>3</v>
      </c>
      <c r="T19" s="152">
        <f>AK6</f>
        <v>3</v>
      </c>
      <c r="U19" s="146" t="s">
        <v>6</v>
      </c>
      <c r="V19" s="186">
        <f>AM6</f>
        <v>0</v>
      </c>
      <c r="W19" s="135">
        <f>H19+K19+N19+Q19+T19</f>
        <v>12</v>
      </c>
      <c r="X19" s="154" t="s">
        <v>6</v>
      </c>
      <c r="Y19" s="137">
        <f>J19+M19+P19+S19+V19</f>
        <v>8</v>
      </c>
      <c r="Z19" s="187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185">
        <v>2</v>
      </c>
      <c r="AB19" s="192"/>
      <c r="AC19" s="40" t="str">
        <f>D11</f>
        <v>Tomeček Richard</v>
      </c>
      <c r="AD19" s="7" t="s">
        <v>8</v>
      </c>
      <c r="AE19" s="54" t="str">
        <f>D13</f>
        <v>Šimon Samuel</v>
      </c>
      <c r="AF19" s="22" t="s">
        <v>120</v>
      </c>
      <c r="AG19" s="19" t="s">
        <v>106</v>
      </c>
      <c r="AH19" s="19" t="s">
        <v>113</v>
      </c>
      <c r="AI19" s="19"/>
      <c r="AJ19" s="52"/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0</v>
      </c>
      <c r="AL19" s="13" t="s">
        <v>6</v>
      </c>
      <c r="AM19" s="27">
        <f t="shared" si="7"/>
        <v>3</v>
      </c>
      <c r="AN19" s="35"/>
      <c r="AO19" s="37"/>
      <c r="AP19" s="37">
        <f>IF(ISBLANK($AB$10),$A$10,0)</f>
        <v>6</v>
      </c>
      <c r="AQ19" s="37">
        <f>IF(ISBLANK($AB$12),$A$12,0)</f>
        <v>3</v>
      </c>
      <c r="AR19" s="2" t="str">
        <f t="shared" si="3"/>
        <v>6-3</v>
      </c>
      <c r="AS19">
        <f>$A$6</f>
        <v>10</v>
      </c>
      <c r="AT19" s="123"/>
      <c r="AU19">
        <f t="shared" si="8"/>
        <v>22</v>
      </c>
      <c r="AV19">
        <f t="shared" si="9"/>
        <v>37</v>
      </c>
      <c r="AW19" s="123"/>
      <c r="AX19" s="120" cm="1">
        <f t="array" aca="1" ref="AX19" ca="1">SUMIF($AP$3:$AP$36,INDIRECT(ADDRESS(ROW(),1)),$AU$3:$AU$36) + SUMIF($AQ$3:$AQ$36,INDIRECT(ADDRESS(ROW(),1)),$AV$3:$AV$36)</f>
        <v>198</v>
      </c>
      <c r="AY19" s="120" cm="1">
        <f t="array" aca="1" ref="AY19" ca="1">SUMIF($AP$3:$AP$36,INDIRECT(ADDRESS(ROW(),1)),$AV$3:$AV$36) + SUMIF($AQ$3:$AQ$36,INDIRECT(ADDRESS(ROW(),1)),$AU$3:$AU$36)</f>
        <v>165</v>
      </c>
      <c r="AZ19" s="120">
        <f ca="1">IFERROR(AX19/AY19,"")</f>
        <v>1.2</v>
      </c>
      <c r="BA19" t="str">
        <f>IF(AND(ISBLANK($AB19),$A19&gt;0),IF(VLOOKUP($A19,seznam!$A$2:$C$197,2)&gt;0,VLOOKUP($A19,seznam!$A$2:$C$197,2),"------"),"------")</f>
        <v>Peťura Patrik</v>
      </c>
    </row>
    <row r="20" spans="1:53">
      <c r="A20" s="173"/>
      <c r="B20"/>
      <c r="C20" s="134"/>
      <c r="D20" s="30" t="str">
        <f>IF(COUNTIF(seznam!$A$2:$A$25,A19)=1,VLOOKUP(A19,seznam!$A$2:$C$25,2,FALSE),"------")</f>
        <v>Peťura Patrik</v>
      </c>
      <c r="E20" s="143"/>
      <c r="F20" s="144"/>
      <c r="G20" s="145"/>
      <c r="H20" s="151"/>
      <c r="I20" s="130"/>
      <c r="J20" s="138"/>
      <c r="K20" s="151"/>
      <c r="L20" s="130"/>
      <c r="M20" s="138"/>
      <c r="N20" s="151"/>
      <c r="O20" s="130"/>
      <c r="P20" s="148"/>
      <c r="Q20" s="151"/>
      <c r="R20" s="130"/>
      <c r="S20" s="138"/>
      <c r="T20" s="151"/>
      <c r="U20" s="130"/>
      <c r="V20" s="157"/>
      <c r="W20" s="136"/>
      <c r="X20" s="148"/>
      <c r="Y20" s="138"/>
      <c r="Z20" s="132"/>
      <c r="AA20" s="164"/>
      <c r="AB20" s="193"/>
      <c r="AC20" s="40" t="str">
        <f>D22</f>
        <v>Ides Samuel Hugo</v>
      </c>
      <c r="AD20" s="7"/>
      <c r="AE20" s="54" t="str">
        <f>D30</f>
        <v>Plotzer Robin</v>
      </c>
      <c r="AF20" s="22" t="s">
        <v>105</v>
      </c>
      <c r="AG20" s="19" t="s">
        <v>103</v>
      </c>
      <c r="AH20" s="19" t="s">
        <v>119</v>
      </c>
      <c r="AI20" s="19" t="s">
        <v>101</v>
      </c>
      <c r="AJ20" s="52" t="s">
        <v>105</v>
      </c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2</v>
      </c>
      <c r="AL20" s="13" t="s">
        <v>6</v>
      </c>
      <c r="AM20" s="27">
        <f t="shared" si="7"/>
        <v>3</v>
      </c>
      <c r="AN20" s="35"/>
      <c r="AO20" s="37"/>
      <c r="AP20" s="37">
        <f>IF(ISBLANK($AB$21),$A$21,0)</f>
        <v>9</v>
      </c>
      <c r="AQ20" s="37">
        <f>IF(ISBLANK($AB$29),$A$29,0)</f>
        <v>11</v>
      </c>
      <c r="AR20" s="2" t="str">
        <f t="shared" si="3"/>
        <v>9-11</v>
      </c>
      <c r="AS20">
        <f>$A$25</f>
        <v>5</v>
      </c>
      <c r="AT20" s="123"/>
      <c r="AU20">
        <f t="shared" si="8"/>
        <v>47</v>
      </c>
      <c r="AV20">
        <f t="shared" si="9"/>
        <v>45</v>
      </c>
      <c r="AW20" s="123"/>
      <c r="AX20" s="120"/>
      <c r="AY20" s="120"/>
      <c r="AZ20" s="120"/>
    </row>
    <row r="21" spans="1:53">
      <c r="A21" s="172">
        <v>9</v>
      </c>
      <c r="B21" s="24"/>
      <c r="C21" s="139">
        <v>2</v>
      </c>
      <c r="D21" s="29" t="str">
        <f>IF(COUNTIF(seznam!$A$2:$A$25,A21)=1,VLOOKUP(A21,seznam!$A$2:$C$25,3,FALSE),"------")</f>
        <v>Sokol Brno I</v>
      </c>
      <c r="E21" s="149">
        <f>AM15</f>
        <v>2</v>
      </c>
      <c r="F21" s="129" t="s">
        <v>6</v>
      </c>
      <c r="G21" s="147">
        <f>AK15</f>
        <v>3</v>
      </c>
      <c r="H21" s="175"/>
      <c r="I21" s="176"/>
      <c r="J21" s="183"/>
      <c r="K21" s="150">
        <f>AK29</f>
        <v>0</v>
      </c>
      <c r="L21" s="129" t="s">
        <v>6</v>
      </c>
      <c r="M21" s="147">
        <f>AM29</f>
        <v>3</v>
      </c>
      <c r="N21" s="150">
        <f>AM35</f>
        <v>1</v>
      </c>
      <c r="O21" s="129" t="s">
        <v>6</v>
      </c>
      <c r="P21" s="129">
        <f>AK35</f>
        <v>3</v>
      </c>
      <c r="Q21" s="150">
        <f>AK7</f>
        <v>0</v>
      </c>
      <c r="R21" s="129" t="s">
        <v>6</v>
      </c>
      <c r="S21" s="147">
        <f>AM7</f>
        <v>3</v>
      </c>
      <c r="T21" s="150">
        <f>AK20</f>
        <v>2</v>
      </c>
      <c r="U21" s="129" t="s">
        <v>6</v>
      </c>
      <c r="V21" s="156">
        <f>AM20</f>
        <v>3</v>
      </c>
      <c r="W21" s="149">
        <f>E21+K21+N21+Q21+T21</f>
        <v>5</v>
      </c>
      <c r="X21" s="129" t="s">
        <v>6</v>
      </c>
      <c r="Y21" s="147">
        <f>G21+M21+P21+S21+V21</f>
        <v>15</v>
      </c>
      <c r="Z21" s="131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5</v>
      </c>
      <c r="AA21" s="159">
        <v>6</v>
      </c>
      <c r="AB21" s="192"/>
      <c r="AC21" s="40" t="str">
        <f>D24</f>
        <v>Pantlík Daniel</v>
      </c>
      <c r="AD21" s="7"/>
      <c r="AE21" s="54" t="str">
        <f>D20</f>
        <v>Peťura Patrik</v>
      </c>
      <c r="AF21" s="22" t="s">
        <v>102</v>
      </c>
      <c r="AG21" s="19" t="s">
        <v>113</v>
      </c>
      <c r="AH21" s="19" t="s">
        <v>99</v>
      </c>
      <c r="AI21" s="19" t="s">
        <v>119</v>
      </c>
      <c r="AJ21" s="52" t="s">
        <v>109</v>
      </c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2</v>
      </c>
      <c r="AL21" s="13" t="s">
        <v>6</v>
      </c>
      <c r="AM21" s="27">
        <f t="shared" si="7"/>
        <v>3</v>
      </c>
      <c r="AN21" s="35"/>
      <c r="AO21" s="37"/>
      <c r="AP21" s="37">
        <f>IF(ISBLANK($AB$23),$A$23,0)</f>
        <v>7</v>
      </c>
      <c r="AQ21" s="37">
        <f>IF(ISBLANK($AB$19),$A$19,0)</f>
        <v>2</v>
      </c>
      <c r="AR21" s="2" t="str">
        <f t="shared" si="3"/>
        <v>7-2</v>
      </c>
      <c r="AS21">
        <f>$A$27</f>
        <v>4</v>
      </c>
      <c r="AT21" s="123"/>
      <c r="AU21">
        <f t="shared" si="8"/>
        <v>40</v>
      </c>
      <c r="AV21">
        <f t="shared" si="9"/>
        <v>46</v>
      </c>
      <c r="AW21" s="123"/>
      <c r="AX21" s="120" cm="1">
        <f t="array" aca="1" ref="AX21" ca="1">SUMIF($AP$3:$AP$36,INDIRECT(ADDRESS(ROW(),1)),$AU$3:$AU$36) + SUMIF($AQ$3:$AQ$36,INDIRECT(ADDRESS(ROW(),1)),$AV$3:$AV$36)</f>
        <v>148</v>
      </c>
      <c r="AY21" s="120" cm="1">
        <f t="array" aca="1" ref="AY21" ca="1">SUMIF($AP$3:$AP$36,INDIRECT(ADDRESS(ROW(),1)),$AV$3:$AV$36) + SUMIF($AQ$3:$AQ$36,INDIRECT(ADDRESS(ROW(),1)),$AU$3:$AU$36)</f>
        <v>204</v>
      </c>
      <c r="AZ21" s="120">
        <f ca="1">IFERROR(AX21/AY21,"")</f>
        <v>0.72549019607843135</v>
      </c>
      <c r="BA21" t="str">
        <f>IF(AND(ISBLANK($AB21),$A21&gt;0),IF(VLOOKUP($A21,seznam!$A$2:$C$197,2)&gt;0,VLOOKUP($A21,seznam!$A$2:$C$197,2),"------"),"------")</f>
        <v>Ides Samuel Hugo</v>
      </c>
    </row>
    <row r="22" spans="1:53" ht="13.5" thickBot="1">
      <c r="A22" s="173"/>
      <c r="B22"/>
      <c r="C22" s="134"/>
      <c r="D22" s="30" t="str">
        <f>IF(COUNTIF(seznam!$A$2:$A$25,A21)=1,VLOOKUP(A21,seznam!$A$2:$C$25,2,FALSE),"------")</f>
        <v>Ides Samuel Hugo</v>
      </c>
      <c r="E22" s="136"/>
      <c r="F22" s="130"/>
      <c r="G22" s="138"/>
      <c r="H22" s="184"/>
      <c r="I22" s="144"/>
      <c r="J22" s="145"/>
      <c r="K22" s="151"/>
      <c r="L22" s="130"/>
      <c r="M22" s="138"/>
      <c r="N22" s="151"/>
      <c r="O22" s="130"/>
      <c r="P22" s="148"/>
      <c r="Q22" s="151"/>
      <c r="R22" s="130"/>
      <c r="S22" s="138"/>
      <c r="T22" s="151"/>
      <c r="U22" s="130"/>
      <c r="V22" s="157"/>
      <c r="W22" s="136"/>
      <c r="X22" s="130"/>
      <c r="Y22" s="138"/>
      <c r="Z22" s="132"/>
      <c r="AA22" s="164"/>
      <c r="AB22" s="193"/>
      <c r="AC22" s="41" t="str">
        <f>D26</f>
        <v>Omelka Marek</v>
      </c>
      <c r="AD22" s="42"/>
      <c r="AE22" s="55" t="str">
        <f>D28</f>
        <v>Kmenta Josef</v>
      </c>
      <c r="AF22" s="43" t="s">
        <v>104</v>
      </c>
      <c r="AG22" s="44" t="s">
        <v>109</v>
      </c>
      <c r="AH22" s="44" t="s">
        <v>117</v>
      </c>
      <c r="AI22" s="44"/>
      <c r="AJ22" s="57"/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0</v>
      </c>
      <c r="AL22" s="46" t="s">
        <v>6</v>
      </c>
      <c r="AM22" s="47">
        <f t="shared" si="7"/>
        <v>3</v>
      </c>
      <c r="AO22" s="37"/>
      <c r="AP22" s="37">
        <f>IF(ISBLANK($AB$25),$A$25,0)</f>
        <v>5</v>
      </c>
      <c r="AQ22" s="3">
        <f>IF(ISBLANK($AB$27),$A$27,0)</f>
        <v>4</v>
      </c>
      <c r="AR22" s="2" t="str">
        <f t="shared" si="3"/>
        <v>5-4</v>
      </c>
      <c r="AS22">
        <f>$A$21</f>
        <v>9</v>
      </c>
      <c r="AT22" s="123"/>
      <c r="AU22">
        <f t="shared" si="8"/>
        <v>21</v>
      </c>
      <c r="AV22">
        <f t="shared" si="9"/>
        <v>36</v>
      </c>
      <c r="AW22" s="123"/>
      <c r="AX22" s="120"/>
      <c r="AY22" s="120"/>
      <c r="AZ22" s="120"/>
    </row>
    <row r="23" spans="1:53" ht="13.5" thickBot="1">
      <c r="A23" s="172">
        <v>7</v>
      </c>
      <c r="B23" s="24"/>
      <c r="C23" s="139">
        <v>3</v>
      </c>
      <c r="D23" s="29" t="str">
        <f>IF(COUNTIF(seznam!$A$2:$A$25,A23)=1,VLOOKUP(A23,seznam!$A$2:$C$25,3,FALSE),"------")</f>
        <v>MK Řeznovice</v>
      </c>
      <c r="E23" s="149">
        <f>AK21</f>
        <v>2</v>
      </c>
      <c r="F23" s="129" t="s">
        <v>6</v>
      </c>
      <c r="G23" s="147">
        <f>AM21</f>
        <v>3</v>
      </c>
      <c r="H23" s="150">
        <f>AM29</f>
        <v>3</v>
      </c>
      <c r="I23" s="129" t="s">
        <v>6</v>
      </c>
      <c r="J23" s="147">
        <f>AK29</f>
        <v>0</v>
      </c>
      <c r="K23" s="175"/>
      <c r="L23" s="176"/>
      <c r="M23" s="183"/>
      <c r="N23" s="150">
        <f>AK8</f>
        <v>1</v>
      </c>
      <c r="O23" s="129" t="s">
        <v>6</v>
      </c>
      <c r="P23" s="129">
        <f>AM8</f>
        <v>3</v>
      </c>
      <c r="Q23" s="150">
        <f>AM14</f>
        <v>0</v>
      </c>
      <c r="R23" s="129" t="s">
        <v>6</v>
      </c>
      <c r="S23" s="147">
        <f>AK14</f>
        <v>3</v>
      </c>
      <c r="T23" s="150">
        <f>AK34</f>
        <v>3</v>
      </c>
      <c r="U23" s="129" t="s">
        <v>6</v>
      </c>
      <c r="V23" s="156">
        <f>AM34</f>
        <v>0</v>
      </c>
      <c r="W23" s="149">
        <f>H23+E23+N23+Q23+T23</f>
        <v>9</v>
      </c>
      <c r="X23" s="129" t="s">
        <v>6</v>
      </c>
      <c r="Y23" s="147">
        <f>J23+G23+P23+S23+V23</f>
        <v>9</v>
      </c>
      <c r="Z23" s="131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59">
        <v>4</v>
      </c>
      <c r="AB23" s="192"/>
      <c r="AC23" s="4" t="s">
        <v>13</v>
      </c>
      <c r="AE23" s="4" t="s">
        <v>50</v>
      </c>
      <c r="AN23" s="35"/>
      <c r="AO23" s="37"/>
      <c r="AP23" s="37"/>
      <c r="AQ23" s="37"/>
      <c r="AT23" s="123"/>
      <c r="AW23" s="123"/>
      <c r="AX23" s="120" cm="1">
        <f t="array" aca="1" ref="AX23" ca="1">SUMIF($AP$3:$AP$36,INDIRECT(ADDRESS(ROW(),1)),$AU$3:$AU$36) + SUMIF($AQ$3:$AQ$36,INDIRECT(ADDRESS(ROW(),1)),$AV$3:$AV$36)</f>
        <v>155</v>
      </c>
      <c r="AY23" s="120" cm="1">
        <f t="array" aca="1" ref="AY23" ca="1">SUMIF($AP$3:$AP$36,INDIRECT(ADDRESS(ROW(),1)),$AV$3:$AV$36) + SUMIF($AQ$3:$AQ$36,INDIRECT(ADDRESS(ROW(),1)),$AU$3:$AU$36)</f>
        <v>167</v>
      </c>
      <c r="AZ23" s="120">
        <f ca="1">IFERROR(AX23/AY23,"")</f>
        <v>0.92814371257485029</v>
      </c>
      <c r="BA23" t="str">
        <f>IF(AND(ISBLANK($AB23),$A23&gt;0),IF(VLOOKUP($A23,seznam!$A$2:$C$197,2)&gt;0,VLOOKUP($A23,seznam!$A$2:$C$197,2),"------"),"------")</f>
        <v>Pantlík Daniel</v>
      </c>
    </row>
    <row r="24" spans="1:53">
      <c r="A24" s="173"/>
      <c r="B24"/>
      <c r="C24" s="134"/>
      <c r="D24" s="30" t="str">
        <f>IF(COUNTIF(seznam!$A$2:$A$25,A23)=1,VLOOKUP(A23,seznam!$A$2:$C$25,2,FALSE),"------")</f>
        <v>Pantlík Daniel</v>
      </c>
      <c r="E24" s="136"/>
      <c r="F24" s="130"/>
      <c r="G24" s="138"/>
      <c r="H24" s="151"/>
      <c r="I24" s="130"/>
      <c r="J24" s="138"/>
      <c r="K24" s="184"/>
      <c r="L24" s="144"/>
      <c r="M24" s="145"/>
      <c r="N24" s="151"/>
      <c r="O24" s="130"/>
      <c r="P24" s="148"/>
      <c r="Q24" s="151"/>
      <c r="R24" s="130"/>
      <c r="S24" s="138"/>
      <c r="T24" s="151"/>
      <c r="U24" s="130"/>
      <c r="V24" s="157"/>
      <c r="W24" s="136"/>
      <c r="X24" s="148"/>
      <c r="Y24" s="138"/>
      <c r="Z24" s="132"/>
      <c r="AA24" s="164"/>
      <c r="AB24" s="193"/>
      <c r="AC24" s="39" t="str">
        <f>D15</f>
        <v>Luhan Adam</v>
      </c>
      <c r="AD24" s="51" t="s">
        <v>8</v>
      </c>
      <c r="AE24" s="53" t="str">
        <f>D13</f>
        <v>Šimon Samuel</v>
      </c>
      <c r="AF24" s="20" t="s">
        <v>119</v>
      </c>
      <c r="AG24" s="21" t="s">
        <v>116</v>
      </c>
      <c r="AH24" s="21" t="s">
        <v>109</v>
      </c>
      <c r="AI24" s="21" t="s">
        <v>106</v>
      </c>
      <c r="AJ24" s="56"/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1</v>
      </c>
      <c r="AL24" s="11" t="s">
        <v>6</v>
      </c>
      <c r="AM24" s="12">
        <f t="shared" ref="AM24:AM29" si="10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IF(ISBLANK($AB$14),$A$14,0)</f>
        <v>12</v>
      </c>
      <c r="AQ24" s="37">
        <f>IF(ISBLANK($AB$12),$A$12,0)</f>
        <v>3</v>
      </c>
      <c r="AR24" s="2" t="str">
        <f t="shared" si="3"/>
        <v>12-3</v>
      </c>
      <c r="AS24">
        <f>$A$8</f>
        <v>8</v>
      </c>
      <c r="AT24" s="123"/>
      <c r="AU24">
        <f t="shared" ref="AU24:AU29" si="11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28</v>
      </c>
      <c r="AV24">
        <f t="shared" ref="AV24:AV29" si="12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44</v>
      </c>
      <c r="AW24" s="123"/>
      <c r="AX24" s="120"/>
      <c r="AY24" s="120"/>
      <c r="AZ24" s="120"/>
    </row>
    <row r="25" spans="1:53">
      <c r="A25" s="172">
        <v>5</v>
      </c>
      <c r="B25" s="24"/>
      <c r="C25" s="139">
        <v>4</v>
      </c>
      <c r="D25" s="29" t="str">
        <f>IF(COUNTIF(seznam!$A$2:$A$25,A25)=1,VLOOKUP(A25,seznam!$A$2:$C$25,3,FALSE),"------")</f>
        <v>KST FOSFA LVA</v>
      </c>
      <c r="E25" s="149">
        <f>AM28</f>
        <v>1</v>
      </c>
      <c r="F25" s="129" t="s">
        <v>6</v>
      </c>
      <c r="G25" s="147">
        <f>AK28</f>
        <v>3</v>
      </c>
      <c r="H25" s="150">
        <f>AK35</f>
        <v>3</v>
      </c>
      <c r="I25" s="129" t="s">
        <v>6</v>
      </c>
      <c r="J25" s="147">
        <f>AM35</f>
        <v>1</v>
      </c>
      <c r="K25" s="150">
        <f>AM8</f>
        <v>3</v>
      </c>
      <c r="L25" s="129" t="s">
        <v>6</v>
      </c>
      <c r="M25" s="147">
        <f>AK8</f>
        <v>1</v>
      </c>
      <c r="N25" s="175"/>
      <c r="O25" s="176"/>
      <c r="P25" s="176"/>
      <c r="Q25" s="150">
        <f>AK22</f>
        <v>0</v>
      </c>
      <c r="R25" s="129" t="s">
        <v>6</v>
      </c>
      <c r="S25" s="147">
        <f>AM22</f>
        <v>3</v>
      </c>
      <c r="T25" s="150">
        <f>AM13</f>
        <v>3</v>
      </c>
      <c r="U25" s="129" t="s">
        <v>6</v>
      </c>
      <c r="V25" s="156">
        <f>AK13</f>
        <v>1</v>
      </c>
      <c r="W25" s="149">
        <f>H25+K25+E25+Q25+T25</f>
        <v>10</v>
      </c>
      <c r="X25" s="129" t="s">
        <v>6</v>
      </c>
      <c r="Y25" s="147">
        <f>J25+M25+G25+S25+V25</f>
        <v>9</v>
      </c>
      <c r="Z25" s="131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159">
        <v>3</v>
      </c>
      <c r="AB25" s="192"/>
      <c r="AC25" s="40" t="str">
        <f>D5</f>
        <v>Voráč Pavel</v>
      </c>
      <c r="AD25" s="7" t="s">
        <v>8</v>
      </c>
      <c r="AE25" s="54" t="str">
        <f>D11</f>
        <v>Tomeček Richard</v>
      </c>
      <c r="AF25" s="22" t="s">
        <v>112</v>
      </c>
      <c r="AG25" s="19" t="s">
        <v>100</v>
      </c>
      <c r="AH25" s="19" t="s">
        <v>100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10"/>
        <v>0</v>
      </c>
      <c r="AN25" s="35"/>
      <c r="AO25" s="37"/>
      <c r="AP25" s="37">
        <f>IF(ISBLANK($AB$4),$A$4,0)</f>
        <v>1</v>
      </c>
      <c r="AQ25" s="37">
        <f>IF(ISBLANK($AB$10),$A$10,0)</f>
        <v>6</v>
      </c>
      <c r="AR25" s="2" t="str">
        <f t="shared" si="3"/>
        <v>1-6</v>
      </c>
      <c r="AS25">
        <f>$A$14</f>
        <v>12</v>
      </c>
      <c r="AT25" s="123"/>
      <c r="AU25">
        <f t="shared" si="11"/>
        <v>33</v>
      </c>
      <c r="AV25">
        <f t="shared" si="12"/>
        <v>15</v>
      </c>
      <c r="AW25" s="123"/>
      <c r="AX25" s="120" cm="1">
        <f t="array" aca="1" ref="AX25" ca="1">SUMIF($AP$3:$AP$36,INDIRECT(ADDRESS(ROW(),1)),$AU$3:$AU$36) + SUMIF($AQ$3:$AQ$36,INDIRECT(ADDRESS(ROW(),1)),$AV$3:$AV$36)</f>
        <v>195</v>
      </c>
      <c r="AY25" s="120" cm="1">
        <f t="array" aca="1" ref="AY25" ca="1">SUMIF($AP$3:$AP$36,INDIRECT(ADDRESS(ROW(),1)),$AV$3:$AV$36) + SUMIF($AQ$3:$AQ$36,INDIRECT(ADDRESS(ROW(),1)),$AU$3:$AU$36)</f>
        <v>165</v>
      </c>
      <c r="AZ25" s="120">
        <f ca="1">IFERROR(AX25/AY25,"")</f>
        <v>1.1818181818181819</v>
      </c>
      <c r="BA25" t="str">
        <f>IF(AND(ISBLANK($AB25),$A25&gt;0),IF(VLOOKUP($A25,seznam!$A$2:$C$197,2)&gt;0,VLOOKUP($A25,seznam!$A$2:$C$197,2),"------"),"------")</f>
        <v>Omelka Marek</v>
      </c>
    </row>
    <row r="26" spans="1:53">
      <c r="A26" s="173"/>
      <c r="B26"/>
      <c r="C26" s="134"/>
      <c r="D26" s="30" t="str">
        <f>IF(COUNTIF(seznam!$A$2:$A$25,A25)=1,VLOOKUP(A25,seznam!$A$2:$C$25,2,FALSE),"------")</f>
        <v>Omelka Marek</v>
      </c>
      <c r="E26" s="136"/>
      <c r="F26" s="130"/>
      <c r="G26" s="138"/>
      <c r="H26" s="151"/>
      <c r="I26" s="130"/>
      <c r="J26" s="138"/>
      <c r="K26" s="151"/>
      <c r="L26" s="130"/>
      <c r="M26" s="138"/>
      <c r="N26" s="184"/>
      <c r="O26" s="144"/>
      <c r="P26" s="144"/>
      <c r="Q26" s="151"/>
      <c r="R26" s="130"/>
      <c r="S26" s="138"/>
      <c r="T26" s="151"/>
      <c r="U26" s="130"/>
      <c r="V26" s="157"/>
      <c r="W26" s="136"/>
      <c r="X26" s="148"/>
      <c r="Y26" s="138"/>
      <c r="Z26" s="132"/>
      <c r="AA26" s="164"/>
      <c r="AB26" s="193"/>
      <c r="AC26" s="40" t="str">
        <f>D7</f>
        <v>Spěvák Šimon</v>
      </c>
      <c r="AD26" s="7" t="s">
        <v>8</v>
      </c>
      <c r="AE26" s="54" t="str">
        <f>D9</f>
        <v>Látal Jan</v>
      </c>
      <c r="AF26" s="22" t="s">
        <v>99</v>
      </c>
      <c r="AG26" s="19" t="s">
        <v>105</v>
      </c>
      <c r="AH26" s="19" t="s">
        <v>115</v>
      </c>
      <c r="AI26" s="19" t="s">
        <v>108</v>
      </c>
      <c r="AJ26" s="52"/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1</v>
      </c>
      <c r="AL26" s="13" t="s">
        <v>6</v>
      </c>
      <c r="AM26" s="27">
        <f t="shared" si="10"/>
        <v>3</v>
      </c>
      <c r="AN26" s="35"/>
      <c r="AO26" s="37"/>
      <c r="AP26" s="37">
        <f>IF(ISBLANK($AB$6),$A$6,0)</f>
        <v>10</v>
      </c>
      <c r="AQ26" s="37">
        <f>IF(ISBLANK($AB$8),$A$8,0)</f>
        <v>8</v>
      </c>
      <c r="AR26" s="2" t="str">
        <f t="shared" si="3"/>
        <v>10-8</v>
      </c>
      <c r="AS26">
        <f>$A$4</f>
        <v>1</v>
      </c>
      <c r="AT26" s="123"/>
      <c r="AU26">
        <f t="shared" si="11"/>
        <v>39</v>
      </c>
      <c r="AV26">
        <f t="shared" si="12"/>
        <v>42</v>
      </c>
      <c r="AW26" s="123"/>
      <c r="AX26" s="120"/>
      <c r="AY26" s="120"/>
      <c r="AZ26" s="120"/>
    </row>
    <row r="27" spans="1:53">
      <c r="A27" s="172">
        <v>4</v>
      </c>
      <c r="B27" s="24"/>
      <c r="C27" s="139">
        <v>5</v>
      </c>
      <c r="D27" s="29" t="str">
        <f>IF(COUNTIF(seznam!$A$2:$A$25,A27)=1,VLOOKUP(A27,seznam!$A$2:$C$25,3,FALSE),"------")</f>
        <v>SKST Hodonín</v>
      </c>
      <c r="E27" s="149">
        <f>AK36</f>
        <v>3</v>
      </c>
      <c r="F27" s="129" t="s">
        <v>6</v>
      </c>
      <c r="G27" s="147">
        <f>AM36</f>
        <v>0</v>
      </c>
      <c r="H27" s="150">
        <f>AM7</f>
        <v>3</v>
      </c>
      <c r="I27" s="129" t="s">
        <v>6</v>
      </c>
      <c r="J27" s="147">
        <f>AK7</f>
        <v>0</v>
      </c>
      <c r="K27" s="150">
        <f>AK14</f>
        <v>3</v>
      </c>
      <c r="L27" s="129" t="s">
        <v>6</v>
      </c>
      <c r="M27" s="147">
        <f>AM14</f>
        <v>0</v>
      </c>
      <c r="N27" s="150">
        <f>AM22</f>
        <v>3</v>
      </c>
      <c r="O27" s="129" t="s">
        <v>6</v>
      </c>
      <c r="P27" s="129">
        <f>AK22</f>
        <v>0</v>
      </c>
      <c r="Q27" s="175"/>
      <c r="R27" s="176"/>
      <c r="S27" s="183"/>
      <c r="T27" s="150">
        <f>AM27</f>
        <v>3</v>
      </c>
      <c r="U27" s="129" t="s">
        <v>6</v>
      </c>
      <c r="V27" s="156">
        <f>AK27</f>
        <v>0</v>
      </c>
      <c r="W27" s="149">
        <f>H27+K27+N27+E27+T27</f>
        <v>15</v>
      </c>
      <c r="X27" s="129" t="s">
        <v>6</v>
      </c>
      <c r="Y27" s="147">
        <f>J27+M27+P27+G27+V27</f>
        <v>0</v>
      </c>
      <c r="Z27" s="131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10</v>
      </c>
      <c r="AA27" s="159">
        <v>1</v>
      </c>
      <c r="AB27" s="192"/>
      <c r="AC27" s="40" t="str">
        <f>D30</f>
        <v>Plotzer Robin</v>
      </c>
      <c r="AD27" s="7"/>
      <c r="AE27" s="54" t="str">
        <f>D28</f>
        <v>Kmenta Josef</v>
      </c>
      <c r="AF27" s="22" t="s">
        <v>113</v>
      </c>
      <c r="AG27" s="19" t="s">
        <v>109</v>
      </c>
      <c r="AH27" s="19" t="s">
        <v>105</v>
      </c>
      <c r="AI27" s="19"/>
      <c r="AJ27" s="52"/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0</v>
      </c>
      <c r="AL27" s="13" t="s">
        <v>6</v>
      </c>
      <c r="AM27" s="27">
        <f t="shared" si="10"/>
        <v>3</v>
      </c>
      <c r="AO27" s="37"/>
      <c r="AP27" s="37">
        <f>IF(ISBLANK($AB$29),$A$29,0)</f>
        <v>11</v>
      </c>
      <c r="AQ27" s="3">
        <f>IF(ISBLANK($AB$27),$A$27,0)</f>
        <v>4</v>
      </c>
      <c r="AR27" s="2" t="str">
        <f t="shared" si="3"/>
        <v>11-4</v>
      </c>
      <c r="AS27">
        <f>$A$23</f>
        <v>7</v>
      </c>
      <c r="AT27" s="123"/>
      <c r="AU27">
        <f t="shared" si="11"/>
        <v>20</v>
      </c>
      <c r="AV27">
        <f t="shared" si="12"/>
        <v>33</v>
      </c>
      <c r="AW27" s="123"/>
      <c r="AX27" s="120" cm="1">
        <f t="array" aca="1" ref="AX27" ca="1">SUMIF($AP$3:$AP$36,INDIRECT(ADDRESS(ROW(),1)),$AU$3:$AU$36) + SUMIF($AQ$3:$AQ$36,INDIRECT(ADDRESS(ROW(),1)),$AV$3:$AV$36)</f>
        <v>170</v>
      </c>
      <c r="AY27" s="120" cm="1">
        <f t="array" aca="1" ref="AY27" ca="1">SUMIF($AP$3:$AP$36,INDIRECT(ADDRESS(ROW(),1)),$AV$3:$AV$36) + SUMIF($AQ$3:$AQ$36,INDIRECT(ADDRESS(ROW(),1)),$AU$3:$AU$36)</f>
        <v>100</v>
      </c>
      <c r="AZ27" s="120">
        <f ca="1">IFERROR(AX27/AY27,"")</f>
        <v>1.7</v>
      </c>
      <c r="BA27" t="str">
        <f>IF(AND(ISBLANK($AB27),$A27&gt;0),IF(VLOOKUP($A27,seznam!$A$2:$C$197,2)&gt;0,VLOOKUP($A27,seznam!$A$2:$C$197,2),"------"),"------")</f>
        <v>Kmenta Josef</v>
      </c>
    </row>
    <row r="28" spans="1:53">
      <c r="A28" s="173"/>
      <c r="B28"/>
      <c r="C28" s="134"/>
      <c r="D28" s="30" t="str">
        <f>IF(COUNTIF(seznam!$A$2:$A$25,A27)=1,VLOOKUP(A27,seznam!$A$2:$C$25,2,FALSE),"------")</f>
        <v>Kmenta Josef</v>
      </c>
      <c r="E28" s="136"/>
      <c r="F28" s="130"/>
      <c r="G28" s="138"/>
      <c r="H28" s="151"/>
      <c r="I28" s="130"/>
      <c r="J28" s="138"/>
      <c r="K28" s="151"/>
      <c r="L28" s="130"/>
      <c r="M28" s="138"/>
      <c r="N28" s="151"/>
      <c r="O28" s="130"/>
      <c r="P28" s="148"/>
      <c r="Q28" s="184"/>
      <c r="R28" s="144"/>
      <c r="S28" s="145"/>
      <c r="T28" s="151"/>
      <c r="U28" s="130"/>
      <c r="V28" s="182"/>
      <c r="W28" s="136"/>
      <c r="X28" s="148"/>
      <c r="Y28" s="138"/>
      <c r="Z28" s="132"/>
      <c r="AA28" s="164"/>
      <c r="AB28" s="193"/>
      <c r="AC28" s="40" t="str">
        <f>D20</f>
        <v>Peťura Patrik</v>
      </c>
      <c r="AD28" s="7"/>
      <c r="AE28" s="54" t="str">
        <f>D26</f>
        <v>Omelka Marek</v>
      </c>
      <c r="AF28" s="22" t="s">
        <v>121</v>
      </c>
      <c r="AG28" s="19" t="s">
        <v>110</v>
      </c>
      <c r="AH28" s="19" t="s">
        <v>108</v>
      </c>
      <c r="AI28" s="19" t="s">
        <v>99</v>
      </c>
      <c r="AJ28" s="52"/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3</v>
      </c>
      <c r="AL28" s="13" t="s">
        <v>6</v>
      </c>
      <c r="AM28" s="27">
        <f t="shared" si="10"/>
        <v>1</v>
      </c>
      <c r="AO28" s="37"/>
      <c r="AP28" s="37">
        <f>IF(ISBLANK($AB$19),$A$19,0)</f>
        <v>2</v>
      </c>
      <c r="AQ28" s="37">
        <f>IF(ISBLANK($AB$25),$A$25,0)</f>
        <v>5</v>
      </c>
      <c r="AR28" s="2" t="str">
        <f t="shared" si="3"/>
        <v>2-5</v>
      </c>
      <c r="AS28">
        <f>$A$29</f>
        <v>11</v>
      </c>
      <c r="AT28" s="123"/>
      <c r="AU28">
        <f t="shared" si="11"/>
        <v>46</v>
      </c>
      <c r="AV28">
        <f t="shared" si="12"/>
        <v>41</v>
      </c>
      <c r="AW28" s="123"/>
      <c r="AX28" s="120"/>
      <c r="AY28" s="120"/>
      <c r="AZ28" s="120"/>
    </row>
    <row r="29" spans="1:53" ht="13.5" thickBot="1">
      <c r="A29" s="172">
        <v>11</v>
      </c>
      <c r="B29" s="24"/>
      <c r="C29" s="139">
        <v>6</v>
      </c>
      <c r="D29" s="29" t="str">
        <f>IF(COUNTIF(seznam!$A$2:$A$25,A29)=1,VLOOKUP(A29,seznam!$A$2:$C$25,3,FALSE),"------")</f>
        <v>MK Řeznovice</v>
      </c>
      <c r="E29" s="149">
        <f>AM6</f>
        <v>0</v>
      </c>
      <c r="F29" s="129" t="s">
        <v>6</v>
      </c>
      <c r="G29" s="147">
        <f>AK6</f>
        <v>3</v>
      </c>
      <c r="H29" s="150">
        <f>AM20</f>
        <v>3</v>
      </c>
      <c r="I29" s="129" t="s">
        <v>6</v>
      </c>
      <c r="J29" s="147">
        <f>AK20</f>
        <v>2</v>
      </c>
      <c r="K29" s="150">
        <f>AM34</f>
        <v>0</v>
      </c>
      <c r="L29" s="129" t="s">
        <v>6</v>
      </c>
      <c r="M29" s="147">
        <f>AK34</f>
        <v>3</v>
      </c>
      <c r="N29" s="150">
        <f>AK13</f>
        <v>1</v>
      </c>
      <c r="O29" s="129" t="s">
        <v>6</v>
      </c>
      <c r="P29" s="129">
        <f>AM13</f>
        <v>3</v>
      </c>
      <c r="Q29" s="150">
        <f>AK27</f>
        <v>0</v>
      </c>
      <c r="R29" s="129" t="s">
        <v>6</v>
      </c>
      <c r="S29" s="147">
        <f>AM27</f>
        <v>3</v>
      </c>
      <c r="T29" s="175"/>
      <c r="U29" s="176"/>
      <c r="V29" s="177"/>
      <c r="W29" s="149">
        <f>H29+K29+N29+Q29+E29</f>
        <v>4</v>
      </c>
      <c r="X29" s="129" t="s">
        <v>6</v>
      </c>
      <c r="Y29" s="147">
        <f>J29+M29+P29+S29+G29</f>
        <v>14</v>
      </c>
      <c r="Z29" s="13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6</v>
      </c>
      <c r="AA29" s="159">
        <v>5</v>
      </c>
      <c r="AB29" s="192"/>
      <c r="AC29" s="41" t="str">
        <f>D22</f>
        <v>Ides Samuel Hugo</v>
      </c>
      <c r="AD29" s="42"/>
      <c r="AE29" s="55" t="str">
        <f>D24</f>
        <v>Pantlík Daniel</v>
      </c>
      <c r="AF29" s="43" t="s">
        <v>105</v>
      </c>
      <c r="AG29" s="44" t="s">
        <v>105</v>
      </c>
      <c r="AH29" s="44" t="s">
        <v>104</v>
      </c>
      <c r="AI29" s="44"/>
      <c r="AJ29" s="57"/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0</v>
      </c>
      <c r="AL29" s="46" t="s">
        <v>6</v>
      </c>
      <c r="AM29" s="47">
        <f t="shared" si="10"/>
        <v>3</v>
      </c>
      <c r="AO29" s="37"/>
      <c r="AP29" s="37">
        <f>IF(ISBLANK($AB$21),$A$21,0)</f>
        <v>9</v>
      </c>
      <c r="AQ29" s="37">
        <f>IF(ISBLANK($AB$23),$A$23,0)</f>
        <v>7</v>
      </c>
      <c r="AR29" s="2" t="str">
        <f t="shared" si="3"/>
        <v>9-7</v>
      </c>
      <c r="AS29">
        <f>$A$19</f>
        <v>2</v>
      </c>
      <c r="AT29" s="123"/>
      <c r="AU29">
        <f t="shared" si="11"/>
        <v>22</v>
      </c>
      <c r="AV29">
        <f t="shared" si="12"/>
        <v>33</v>
      </c>
      <c r="AW29" s="123"/>
      <c r="AX29" s="120" cm="1">
        <f t="array" aca="1" ref="AX29" ca="1">SUMIF($AP$3:$AP$36,INDIRECT(ADDRESS(ROW(),1)),$AU$3:$AU$36) + SUMIF($AQ$3:$AQ$36,INDIRECT(ADDRESS(ROW(),1)),$AV$3:$AV$36)</f>
        <v>124</v>
      </c>
      <c r="AY29" s="120" cm="1">
        <f t="array" aca="1" ref="AY29" ca="1">SUMIF($AP$3:$AP$36,INDIRECT(ADDRESS(ROW(),1)),$AV$3:$AV$36) + SUMIF($AQ$3:$AQ$36,INDIRECT(ADDRESS(ROW(),1)),$AU$3:$AU$36)</f>
        <v>189</v>
      </c>
      <c r="AZ29" s="120">
        <f ca="1">IFERROR(AX29/AY29,"")</f>
        <v>0.65608465608465605</v>
      </c>
      <c r="BA29" t="str">
        <f>IF(AND(ISBLANK($AB29),$A29&gt;0),IF(VLOOKUP($A29,seznam!$A$2:$C$197,2)&gt;0,VLOOKUP($A29,seznam!$A$2:$C$197,2),"------"),"------")</f>
        <v>Plotzer Robin</v>
      </c>
    </row>
    <row r="30" spans="1:53" ht="13.5" thickBot="1">
      <c r="A30" s="173"/>
      <c r="B30"/>
      <c r="C30" s="174"/>
      <c r="D30" s="18" t="str">
        <f>IF(COUNTIF(seznam!$A$2:$A$25,A29)=1,VLOOKUP(A29,seznam!$A$2:$C$25,2,FALSE),"------")</f>
        <v>Plotzer Robin</v>
      </c>
      <c r="E30" s="161"/>
      <c r="F30" s="155"/>
      <c r="G30" s="163"/>
      <c r="H30" s="158"/>
      <c r="I30" s="155"/>
      <c r="J30" s="163"/>
      <c r="K30" s="158"/>
      <c r="L30" s="155"/>
      <c r="M30" s="163"/>
      <c r="N30" s="158"/>
      <c r="O30" s="155"/>
      <c r="P30" s="181"/>
      <c r="Q30" s="158"/>
      <c r="R30" s="155"/>
      <c r="S30" s="163"/>
      <c r="T30" s="178"/>
      <c r="U30" s="179"/>
      <c r="V30" s="180"/>
      <c r="W30" s="161"/>
      <c r="X30" s="155"/>
      <c r="Y30" s="163"/>
      <c r="Z30" s="162"/>
      <c r="AA30" s="160"/>
      <c r="AB30" s="193"/>
      <c r="AC30" s="4" t="s">
        <v>14</v>
      </c>
      <c r="AP30" s="37"/>
      <c r="AQ30" s="3"/>
      <c r="AT30" s="123"/>
      <c r="AW30" s="123"/>
    </row>
    <row r="31" spans="1:53">
      <c r="AC31" s="39" t="str">
        <f>D9</f>
        <v>Látal Jan</v>
      </c>
      <c r="AD31" s="51" t="s">
        <v>8</v>
      </c>
      <c r="AE31" s="53" t="str">
        <f>D15</f>
        <v>Luhan Adam</v>
      </c>
      <c r="AF31" s="20" t="s">
        <v>101</v>
      </c>
      <c r="AG31" s="21" t="s">
        <v>98</v>
      </c>
      <c r="AH31" s="21" t="s">
        <v>105</v>
      </c>
      <c r="AI31" s="21" t="s">
        <v>99</v>
      </c>
      <c r="AJ31" s="56"/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 t="shared" ref="AM31:AM36" si="13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1</v>
      </c>
      <c r="AO31" s="37"/>
      <c r="AP31" s="37">
        <f>IF(ISBLANK($AB$8),$A$8,0)</f>
        <v>8</v>
      </c>
      <c r="AQ31" s="37">
        <f>IF(ISBLANK($AB$14),$A$14,0)</f>
        <v>12</v>
      </c>
      <c r="AR31" s="2" t="str">
        <f t="shared" si="3"/>
        <v>8-12</v>
      </c>
      <c r="AS31">
        <f>$A$12</f>
        <v>3</v>
      </c>
      <c r="AT31" s="123"/>
      <c r="AU31">
        <f t="shared" ref="AU31:AU36" si="14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42</v>
      </c>
      <c r="AV31">
        <f t="shared" ref="AV31:AV36" si="15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31</v>
      </c>
      <c r="AW31" s="123"/>
    </row>
    <row r="32" spans="1:53">
      <c r="AC32" s="40" t="str">
        <f>D11</f>
        <v>Tomeček Richard</v>
      </c>
      <c r="AD32" s="7" t="s">
        <v>8</v>
      </c>
      <c r="AE32" s="54" t="str">
        <f>D7</f>
        <v>Spěvák Šimon</v>
      </c>
      <c r="AF32" s="22" t="s">
        <v>98</v>
      </c>
      <c r="AG32" s="19" t="s">
        <v>107</v>
      </c>
      <c r="AH32" s="19" t="s">
        <v>119</v>
      </c>
      <c r="AI32" s="19" t="s">
        <v>113</v>
      </c>
      <c r="AJ32" s="52"/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1</v>
      </c>
      <c r="AL32" s="13" t="s">
        <v>6</v>
      </c>
      <c r="AM32" s="27">
        <f t="shared" si="13"/>
        <v>3</v>
      </c>
      <c r="AO32" s="37"/>
      <c r="AP32" s="37">
        <f>IF(ISBLANK($AB$10),$A$10,0)</f>
        <v>6</v>
      </c>
      <c r="AQ32" s="37">
        <f>IF(ISBLANK($AB$6),$A$6,0)</f>
        <v>10</v>
      </c>
      <c r="AR32" s="2" t="str">
        <f t="shared" si="3"/>
        <v>6-10</v>
      </c>
      <c r="AS32">
        <f>$A$4</f>
        <v>1</v>
      </c>
      <c r="AT32" s="123"/>
      <c r="AU32">
        <f t="shared" si="14"/>
        <v>34</v>
      </c>
      <c r="AV32">
        <f t="shared" si="15"/>
        <v>39</v>
      </c>
      <c r="AW32" s="123"/>
    </row>
    <row r="33" spans="29:49">
      <c r="AC33" s="40" t="str">
        <f>D13</f>
        <v>Šimon Samuel</v>
      </c>
      <c r="AD33" s="7" t="s">
        <v>8</v>
      </c>
      <c r="AE33" s="54" t="str">
        <f>D5</f>
        <v>Voráč Pavel</v>
      </c>
      <c r="AF33" s="22" t="s">
        <v>109</v>
      </c>
      <c r="AG33" s="19" t="s">
        <v>108</v>
      </c>
      <c r="AH33" s="19" t="s">
        <v>113</v>
      </c>
      <c r="AI33" s="19"/>
      <c r="AJ33" s="52"/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0</v>
      </c>
      <c r="AL33" s="13" t="s">
        <v>6</v>
      </c>
      <c r="AM33" s="27">
        <f t="shared" si="13"/>
        <v>3</v>
      </c>
      <c r="AO33" s="37"/>
      <c r="AP33" s="37">
        <f>IF(ISBLANK($AB$12),$A$12,0)</f>
        <v>3</v>
      </c>
      <c r="AQ33" s="37">
        <f>IF(ISBLANK($AB$4),$A$4,0)</f>
        <v>1</v>
      </c>
      <c r="AR33" s="2" t="str">
        <f t="shared" si="3"/>
        <v>3-1</v>
      </c>
      <c r="AS33">
        <f>$A$8</f>
        <v>8</v>
      </c>
      <c r="AT33" s="123"/>
      <c r="AU33">
        <f t="shared" si="14"/>
        <v>19</v>
      </c>
      <c r="AV33">
        <f t="shared" si="15"/>
        <v>33</v>
      </c>
      <c r="AW33" s="123"/>
    </row>
    <row r="34" spans="29:49">
      <c r="AC34" s="40" t="str">
        <f>D24</f>
        <v>Pantlík Daniel</v>
      </c>
      <c r="AD34" s="7"/>
      <c r="AE34" s="54" t="str">
        <f>D30</f>
        <v>Plotzer Robin</v>
      </c>
      <c r="AF34" s="22" t="s">
        <v>111</v>
      </c>
      <c r="AG34" s="19" t="s">
        <v>101</v>
      </c>
      <c r="AH34" s="19" t="s">
        <v>112</v>
      </c>
      <c r="AI34" s="19"/>
      <c r="AJ34" s="52"/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3</v>
      </c>
      <c r="AL34" s="13" t="s">
        <v>6</v>
      </c>
      <c r="AM34" s="27">
        <f t="shared" si="13"/>
        <v>0</v>
      </c>
      <c r="AO34" s="37"/>
      <c r="AP34" s="37">
        <f>IF(ISBLANK($AB$23),$A$23,0)</f>
        <v>7</v>
      </c>
      <c r="AQ34" s="37">
        <f>IF(ISBLANK($AB$29),$A$29,0)</f>
        <v>11</v>
      </c>
      <c r="AR34" s="2" t="str">
        <f t="shared" si="3"/>
        <v>7-11</v>
      </c>
      <c r="AS34">
        <f>$A$27</f>
        <v>4</v>
      </c>
      <c r="AT34" s="123"/>
      <c r="AU34">
        <f t="shared" si="14"/>
        <v>33</v>
      </c>
      <c r="AV34">
        <f t="shared" si="15"/>
        <v>19</v>
      </c>
      <c r="AW34" s="123"/>
    </row>
    <row r="35" spans="29:49">
      <c r="AC35" s="40" t="str">
        <f>D26</f>
        <v>Omelka Marek</v>
      </c>
      <c r="AD35" s="7"/>
      <c r="AE35" s="54" t="str">
        <f>D22</f>
        <v>Ides Samuel Hugo</v>
      </c>
      <c r="AF35" s="22" t="s">
        <v>103</v>
      </c>
      <c r="AG35" s="19" t="s">
        <v>111</v>
      </c>
      <c r="AH35" s="19" t="s">
        <v>107</v>
      </c>
      <c r="AI35" s="19" t="s">
        <v>102</v>
      </c>
      <c r="AJ35" s="52"/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3</v>
      </c>
      <c r="AL35" s="13" t="s">
        <v>6</v>
      </c>
      <c r="AM35" s="27">
        <f t="shared" si="13"/>
        <v>1</v>
      </c>
      <c r="AO35" s="37"/>
      <c r="AP35" s="37">
        <f>IF(ISBLANK($AB$25),$A$25,0)</f>
        <v>5</v>
      </c>
      <c r="AQ35" s="37">
        <f>IF(ISBLANK($AB$21),$A$21,0)</f>
        <v>9</v>
      </c>
      <c r="AR35" s="2" t="str">
        <f t="shared" si="3"/>
        <v>5-9</v>
      </c>
      <c r="AS35">
        <f>$A$19</f>
        <v>2</v>
      </c>
      <c r="AT35" s="123"/>
      <c r="AU35">
        <f t="shared" si="14"/>
        <v>43</v>
      </c>
      <c r="AV35">
        <f t="shared" si="15"/>
        <v>24</v>
      </c>
      <c r="AW35" s="123"/>
    </row>
    <row r="36" spans="29:49" ht="13.5" thickBot="1">
      <c r="AC36" s="41" t="str">
        <f>D28</f>
        <v>Kmenta Josef</v>
      </c>
      <c r="AD36" s="42"/>
      <c r="AE36" s="55" t="str">
        <f>D20</f>
        <v>Peťura Patrik</v>
      </c>
      <c r="AF36" s="43" t="s">
        <v>98</v>
      </c>
      <c r="AG36" s="44" t="s">
        <v>99</v>
      </c>
      <c r="AH36" s="44" t="s">
        <v>116</v>
      </c>
      <c r="AI36" s="44"/>
      <c r="AJ36" s="57"/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3</v>
      </c>
      <c r="AL36" s="46" t="s">
        <v>6</v>
      </c>
      <c r="AM36" s="47">
        <f t="shared" si="13"/>
        <v>0</v>
      </c>
      <c r="AO36" s="37"/>
      <c r="AP36" s="3">
        <f>IF(ISBLANK($AB$27),$A$27,0)</f>
        <v>4</v>
      </c>
      <c r="AQ36" s="37">
        <f>IF(ISBLANK($AB$19),$A$19,0)</f>
        <v>2</v>
      </c>
      <c r="AR36" s="2" t="str">
        <f t="shared" si="3"/>
        <v>4-2</v>
      </c>
      <c r="AS36">
        <f>$A$23</f>
        <v>7</v>
      </c>
      <c r="AT36" s="123"/>
      <c r="AU36">
        <f t="shared" si="14"/>
        <v>35</v>
      </c>
      <c r="AV36">
        <f t="shared" si="15"/>
        <v>23</v>
      </c>
      <c r="AW36" s="123"/>
    </row>
    <row r="37" spans="29:49">
      <c r="AT37" s="3"/>
      <c r="AU37" s="3"/>
      <c r="AV37" s="4"/>
      <c r="AW37" s="2"/>
    </row>
    <row r="50" spans="1:27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9">
    <mergeCell ref="AB25:AB26"/>
    <mergeCell ref="AB27:AB28"/>
    <mergeCell ref="AB29:AB30"/>
    <mergeCell ref="AB4:AB5"/>
    <mergeCell ref="AB6:AB7"/>
    <mergeCell ref="AB8:AB9"/>
    <mergeCell ref="AB10:AB11"/>
    <mergeCell ref="AB14:AB15"/>
    <mergeCell ref="AB12:AB13"/>
    <mergeCell ref="AB19:AB20"/>
    <mergeCell ref="AB21:AB22"/>
    <mergeCell ref="AB23:AB24"/>
    <mergeCell ref="C1:AA1"/>
    <mergeCell ref="H17:J18"/>
    <mergeCell ref="K17:M18"/>
    <mergeCell ref="U12:U13"/>
    <mergeCell ref="V12:V13"/>
    <mergeCell ref="V4:V5"/>
    <mergeCell ref="C2:D3"/>
    <mergeCell ref="L4:L5"/>
    <mergeCell ref="T2:V3"/>
    <mergeCell ref="T17:V18"/>
    <mergeCell ref="T6:T7"/>
    <mergeCell ref="U6:U7"/>
    <mergeCell ref="V6:V7"/>
    <mergeCell ref="T12:T13"/>
    <mergeCell ref="T14:V15"/>
    <mergeCell ref="V10:V11"/>
    <mergeCell ref="U8:U9"/>
    <mergeCell ref="U10:U11"/>
    <mergeCell ref="W2:Y3"/>
    <mergeCell ref="Z2:Z3"/>
    <mergeCell ref="AA2:AA3"/>
    <mergeCell ref="Z12:Z13"/>
    <mergeCell ref="AA12:AA13"/>
    <mergeCell ref="AA10:AA11"/>
    <mergeCell ref="W6:W7"/>
    <mergeCell ref="AA6:AA7"/>
    <mergeCell ref="Y6:Y7"/>
    <mergeCell ref="AA8:AA9"/>
    <mergeCell ref="Z4:Z5"/>
    <mergeCell ref="AA4:AA5"/>
    <mergeCell ref="A27:A28"/>
    <mergeCell ref="A23:A24"/>
    <mergeCell ref="A19:A20"/>
    <mergeCell ref="I19:I20"/>
    <mergeCell ref="J19:J20"/>
    <mergeCell ref="K19:K20"/>
    <mergeCell ref="C19:C20"/>
    <mergeCell ref="E19:G20"/>
    <mergeCell ref="A4:A5"/>
    <mergeCell ref="H4:H5"/>
    <mergeCell ref="I4:I5"/>
    <mergeCell ref="J4:J5"/>
    <mergeCell ref="A6:A7"/>
    <mergeCell ref="H14:H15"/>
    <mergeCell ref="F14:F15"/>
    <mergeCell ref="G14:G15"/>
    <mergeCell ref="I12:I13"/>
    <mergeCell ref="A12:A13"/>
    <mergeCell ref="Q2:S3"/>
    <mergeCell ref="K12:K13"/>
    <mergeCell ref="M14:M15"/>
    <mergeCell ref="N14:N15"/>
    <mergeCell ref="O14:O15"/>
    <mergeCell ref="N2:P3"/>
    <mergeCell ref="Q12:S13"/>
    <mergeCell ref="R10:R11"/>
    <mergeCell ref="S10:S11"/>
    <mergeCell ref="L10:L11"/>
    <mergeCell ref="P4:P5"/>
    <mergeCell ref="K4:K5"/>
    <mergeCell ref="Q6:Q7"/>
    <mergeCell ref="R6:R7"/>
    <mergeCell ref="H2:J3"/>
    <mergeCell ref="K2:M3"/>
    <mergeCell ref="E10:E11"/>
    <mergeCell ref="G10:G11"/>
    <mergeCell ref="H10:H11"/>
    <mergeCell ref="I10:I11"/>
    <mergeCell ref="H6:J7"/>
    <mergeCell ref="K10:K11"/>
    <mergeCell ref="P12:P13"/>
    <mergeCell ref="P8:P9"/>
    <mergeCell ref="O8:O9"/>
    <mergeCell ref="M12:M13"/>
    <mergeCell ref="N12:N13"/>
    <mergeCell ref="O12:O13"/>
    <mergeCell ref="N10:P11"/>
    <mergeCell ref="M4:M5"/>
    <mergeCell ref="N4:N5"/>
    <mergeCell ref="L12:L13"/>
    <mergeCell ref="E2:G3"/>
    <mergeCell ref="E6:E7"/>
    <mergeCell ref="F6:F7"/>
    <mergeCell ref="G6:G7"/>
    <mergeCell ref="J8:J9"/>
    <mergeCell ref="H12:H13"/>
    <mergeCell ref="A14:A15"/>
    <mergeCell ref="G8:G9"/>
    <mergeCell ref="H8:H9"/>
    <mergeCell ref="C12:C13"/>
    <mergeCell ref="E12:E13"/>
    <mergeCell ref="F12:F13"/>
    <mergeCell ref="G12:G13"/>
    <mergeCell ref="A8:A9"/>
    <mergeCell ref="A10:A11"/>
    <mergeCell ref="C17:D18"/>
    <mergeCell ref="E17:G18"/>
    <mergeCell ref="I8:I9"/>
    <mergeCell ref="K6:K7"/>
    <mergeCell ref="L6:L7"/>
    <mergeCell ref="M6:M7"/>
    <mergeCell ref="K8:M9"/>
    <mergeCell ref="K14:K15"/>
    <mergeCell ref="J12:J13"/>
    <mergeCell ref="F10:F11"/>
    <mergeCell ref="C14:C15"/>
    <mergeCell ref="C6:C7"/>
    <mergeCell ref="N17:P18"/>
    <mergeCell ref="Q17:S18"/>
    <mergeCell ref="S14:S15"/>
    <mergeCell ref="P14:P15"/>
    <mergeCell ref="I14:I15"/>
    <mergeCell ref="J14:J15"/>
    <mergeCell ref="E14:E15"/>
    <mergeCell ref="S6:S7"/>
    <mergeCell ref="P21:P22"/>
    <mergeCell ref="S19:S20"/>
    <mergeCell ref="L19:L20"/>
    <mergeCell ref="M19:M20"/>
    <mergeCell ref="N19:N20"/>
    <mergeCell ref="O19:O20"/>
    <mergeCell ref="H19:H20"/>
    <mergeCell ref="P19:P20"/>
    <mergeCell ref="Q19:Q20"/>
    <mergeCell ref="R19:R20"/>
    <mergeCell ref="A21:A22"/>
    <mergeCell ref="C21:C22"/>
    <mergeCell ref="E21:E22"/>
    <mergeCell ref="F21:F22"/>
    <mergeCell ref="G21:G22"/>
    <mergeCell ref="H21:J22"/>
    <mergeCell ref="M21:M22"/>
    <mergeCell ref="N21:N22"/>
    <mergeCell ref="O21:O22"/>
    <mergeCell ref="K21:K22"/>
    <mergeCell ref="L21:L22"/>
    <mergeCell ref="U21:U22"/>
    <mergeCell ref="V21:V22"/>
    <mergeCell ref="T21:T22"/>
    <mergeCell ref="W21:W22"/>
    <mergeCell ref="X21:X22"/>
    <mergeCell ref="J23:J24"/>
    <mergeCell ref="K23:M24"/>
    <mergeCell ref="AA19:AA20"/>
    <mergeCell ref="T19:T20"/>
    <mergeCell ref="U19:U20"/>
    <mergeCell ref="V19:V20"/>
    <mergeCell ref="Z19:Z20"/>
    <mergeCell ref="Q21:Q22"/>
    <mergeCell ref="R21:R22"/>
    <mergeCell ref="S21:S22"/>
    <mergeCell ref="T23:T24"/>
    <mergeCell ref="U23:U24"/>
    <mergeCell ref="Y21:Y22"/>
    <mergeCell ref="AA21:AA22"/>
    <mergeCell ref="Q23:Q24"/>
    <mergeCell ref="R23:R24"/>
    <mergeCell ref="S23:S24"/>
    <mergeCell ref="Z23:Z24"/>
    <mergeCell ref="Y19:Y20"/>
    <mergeCell ref="S25:S26"/>
    <mergeCell ref="T25:T26"/>
    <mergeCell ref="C23:C24"/>
    <mergeCell ref="E23:E24"/>
    <mergeCell ref="F23:F24"/>
    <mergeCell ref="G23:G24"/>
    <mergeCell ref="H23:H24"/>
    <mergeCell ref="I23:I24"/>
    <mergeCell ref="N23:N24"/>
    <mergeCell ref="O23:O24"/>
    <mergeCell ref="P23:P24"/>
    <mergeCell ref="M25:M26"/>
    <mergeCell ref="N25:P26"/>
    <mergeCell ref="V27:V28"/>
    <mergeCell ref="Q27:S28"/>
    <mergeCell ref="AA23:AA24"/>
    <mergeCell ref="W23:W24"/>
    <mergeCell ref="A25:A26"/>
    <mergeCell ref="C25:C26"/>
    <mergeCell ref="E25:E26"/>
    <mergeCell ref="F25:F26"/>
    <mergeCell ref="X23:X24"/>
    <mergeCell ref="Y23:Y24"/>
    <mergeCell ref="V23:V24"/>
    <mergeCell ref="G25:G26"/>
    <mergeCell ref="H25:H26"/>
    <mergeCell ref="I25:I26"/>
    <mergeCell ref="J25:J26"/>
    <mergeCell ref="K25:K26"/>
    <mergeCell ref="L25:L26"/>
    <mergeCell ref="Z25:Z26"/>
    <mergeCell ref="U25:U26"/>
    <mergeCell ref="V25:V26"/>
    <mergeCell ref="Q25:Q26"/>
    <mergeCell ref="R25:R26"/>
    <mergeCell ref="C27:C28"/>
    <mergeCell ref="E27:E28"/>
    <mergeCell ref="F27:F28"/>
    <mergeCell ref="G27:G28"/>
    <mergeCell ref="H27:H28"/>
    <mergeCell ref="I27:I28"/>
    <mergeCell ref="T27:T28"/>
    <mergeCell ref="U27:U28"/>
    <mergeCell ref="L27:L28"/>
    <mergeCell ref="M27:M28"/>
    <mergeCell ref="N27:N28"/>
    <mergeCell ref="O27:O28"/>
    <mergeCell ref="J27:J28"/>
    <mergeCell ref="K27:K28"/>
    <mergeCell ref="P27:P28"/>
    <mergeCell ref="M29:M30"/>
    <mergeCell ref="N29:N30"/>
    <mergeCell ref="Z27:Z28"/>
    <mergeCell ref="AA27:AA28"/>
    <mergeCell ref="W27:W28"/>
    <mergeCell ref="A29:A30"/>
    <mergeCell ref="C29:C30"/>
    <mergeCell ref="E29:E30"/>
    <mergeCell ref="F29:F30"/>
    <mergeCell ref="X27:X28"/>
    <mergeCell ref="G29:G30"/>
    <mergeCell ref="H29:H30"/>
    <mergeCell ref="I29:I30"/>
    <mergeCell ref="J29:J30"/>
    <mergeCell ref="K29:K30"/>
    <mergeCell ref="L29:L30"/>
    <mergeCell ref="S29:S30"/>
    <mergeCell ref="T29:V30"/>
    <mergeCell ref="Y29:Y30"/>
    <mergeCell ref="Z29:Z30"/>
    <mergeCell ref="O29:O30"/>
    <mergeCell ref="P29:P30"/>
    <mergeCell ref="Q29:Q30"/>
    <mergeCell ref="R29:R30"/>
    <mergeCell ref="AA29:AA30"/>
    <mergeCell ref="W29:W30"/>
    <mergeCell ref="X29:X30"/>
    <mergeCell ref="AA14:AA15"/>
    <mergeCell ref="X14:X15"/>
    <mergeCell ref="Z14:Z15"/>
    <mergeCell ref="Y14:Y15"/>
    <mergeCell ref="W14:W15"/>
    <mergeCell ref="Y27:Y28"/>
    <mergeCell ref="AA25:AA26"/>
    <mergeCell ref="W25:W26"/>
    <mergeCell ref="X25:X26"/>
    <mergeCell ref="Y25:Y26"/>
    <mergeCell ref="Z21:Z22"/>
    <mergeCell ref="W19:W20"/>
    <mergeCell ref="X19:X20"/>
    <mergeCell ref="W17:Y18"/>
    <mergeCell ref="Z17:Z18"/>
    <mergeCell ref="AA17:AA18"/>
    <mergeCell ref="X12:X13"/>
    <mergeCell ref="Y12:Y13"/>
    <mergeCell ref="W12:W13"/>
    <mergeCell ref="W10:W11"/>
    <mergeCell ref="Y8:Y9"/>
    <mergeCell ref="Z8:Z9"/>
    <mergeCell ref="Q10:Q11"/>
    <mergeCell ref="J10:J11"/>
    <mergeCell ref="L14:L15"/>
    <mergeCell ref="Z10:Z11"/>
    <mergeCell ref="Y10:Y11"/>
    <mergeCell ref="X10:X11"/>
    <mergeCell ref="Q8:Q9"/>
    <mergeCell ref="R8:R9"/>
    <mergeCell ref="S8:S9"/>
    <mergeCell ref="W8:W9"/>
    <mergeCell ref="X8:X9"/>
    <mergeCell ref="V8:V9"/>
    <mergeCell ref="Q14:Q15"/>
    <mergeCell ref="R14:R15"/>
    <mergeCell ref="X6:X7"/>
    <mergeCell ref="Z6:Z7"/>
    <mergeCell ref="C4:C5"/>
    <mergeCell ref="W4:W5"/>
    <mergeCell ref="Y4:Y5"/>
    <mergeCell ref="C10:C11"/>
    <mergeCell ref="E4:G5"/>
    <mergeCell ref="O6:O7"/>
    <mergeCell ref="O4:O5"/>
    <mergeCell ref="M10:M11"/>
    <mergeCell ref="P6:P7"/>
    <mergeCell ref="E8:E9"/>
    <mergeCell ref="F8:F9"/>
    <mergeCell ref="N8:N9"/>
    <mergeCell ref="T4:T5"/>
    <mergeCell ref="U4:U5"/>
    <mergeCell ref="T8:T9"/>
    <mergeCell ref="S4:S5"/>
    <mergeCell ref="T10:T11"/>
    <mergeCell ref="X4:X5"/>
    <mergeCell ref="Q4:Q5"/>
    <mergeCell ref="R4:R5"/>
    <mergeCell ref="N6:N7"/>
    <mergeCell ref="C8:C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1048575" man="1"/>
  </colBreaks>
  <cellWatches>
    <cellWatch r="D4"/>
  </cellWatches>
  <ignoredErrors>
    <ignoredError sqref="C5 C7 C23 C9 C11 C14 C13 C4 C8 C20 E27:Y27 C22 C10 C24 C29 AC23:AD23 C26 C21 C28 C25 AC30:AE30 AC9:AE9 C15 C30 AC5:AE5 AC7:AE7 AC6:AE6 AC4:AE4 AC8:AE8 AC10:AE10 AC12:AE12 AC14:AE14 AC13:AE13 AC15:AE15 AC11:AE11 C16:Y18 AC22:AE22 AC20:AE20 AC21:AE21 AC19:AE19 AC24:AE24 AC28:AE28 AC25:AE25 AC29:AE29 AC27:AE27 AC26:AE26 C31:AE36 C6 C19 E12:Y12 AB16:AE18 E4:Y4 E5:Y5 E6:Y6 E7:Y7 E8:Y8 E9:Y9 E10:Y10 E11:Y11 E13:Y13 E14:Y14 E15:Y15 E19:Y19 E20:Y20 E21:Y21 E22:Y22 E23:Y23 E24:Y24 E25:Y25 E26:Y26 E28:Y28 E29:Y29 E30:Y30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A50"/>
  <sheetViews>
    <sheetView view="pageBreakPreview" topLeftCell="A7" zoomScale="85" zoomScaleNormal="100" zoomScaleSheetLayoutView="85" workbookViewId="0">
      <selection activeCell="AA31" sqref="AA31"/>
    </sheetView>
  </sheetViews>
  <sheetFormatPr defaultRowHeight="1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3" customWidth="1"/>
    <col min="37" max="39" width="3.1796875" style="9" customWidth="1"/>
    <col min="40" max="40" width="2.7265625" style="9" customWidth="1"/>
    <col min="41" max="43" width="4.7265625" style="3" customWidth="1"/>
    <col min="44" max="44" width="4.7265625" style="2" customWidth="1"/>
    <col min="45" max="46" width="4.7265625" customWidth="1"/>
    <col min="47" max="52" width="6.26953125" customWidth="1"/>
    <col min="53" max="53" width="22.7265625" customWidth="1"/>
  </cols>
  <sheetData>
    <row r="1" spans="1:53" s="15" customFormat="1" ht="40" customHeight="1" thickBot="1">
      <c r="C1" s="191" t="s">
        <v>60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28"/>
      <c r="AC1" s="100" t="s">
        <v>52</v>
      </c>
      <c r="AD1" s="94"/>
      <c r="AE1" s="100">
        <v>45773</v>
      </c>
      <c r="AF1" s="94"/>
      <c r="AG1" s="94"/>
      <c r="AH1" s="94"/>
      <c r="AI1" s="94"/>
      <c r="AJ1" s="94"/>
      <c r="AK1" s="94"/>
      <c r="AL1" s="94"/>
      <c r="AM1" s="94"/>
      <c r="AN1" s="28"/>
      <c r="AO1" s="94"/>
      <c r="AP1" s="127"/>
      <c r="AQ1" s="127"/>
      <c r="AR1" s="94"/>
      <c r="AS1" s="28"/>
      <c r="AT1" s="121"/>
      <c r="AU1" s="36" t="s">
        <v>53</v>
      </c>
      <c r="AV1" s="48"/>
      <c r="AW1" s="124"/>
      <c r="AX1" s="126" t="s">
        <v>58</v>
      </c>
      <c r="AY1" s="119"/>
      <c r="AZ1" s="119"/>
    </row>
    <row r="2" spans="1:53" ht="13.5" thickBot="1">
      <c r="C2" s="188" t="s">
        <v>37</v>
      </c>
      <c r="D2" s="189"/>
      <c r="E2" s="188">
        <v>1</v>
      </c>
      <c r="F2" s="166"/>
      <c r="G2" s="166"/>
      <c r="H2" s="169">
        <v>2</v>
      </c>
      <c r="I2" s="166"/>
      <c r="J2" s="166"/>
      <c r="K2" s="169">
        <v>3</v>
      </c>
      <c r="L2" s="166"/>
      <c r="M2" s="166"/>
      <c r="N2" s="169">
        <v>4</v>
      </c>
      <c r="O2" s="166"/>
      <c r="P2" s="166"/>
      <c r="Q2" s="169">
        <v>5</v>
      </c>
      <c r="R2" s="166"/>
      <c r="S2" s="166"/>
      <c r="T2" s="169">
        <v>6</v>
      </c>
      <c r="U2" s="166"/>
      <c r="V2" s="189"/>
      <c r="W2" s="165" t="s">
        <v>3</v>
      </c>
      <c r="X2" s="166"/>
      <c r="Y2" s="166"/>
      <c r="Z2" s="169" t="s">
        <v>4</v>
      </c>
      <c r="AA2" s="170" t="s">
        <v>5</v>
      </c>
      <c r="AC2" s="4" t="s">
        <v>10</v>
      </c>
      <c r="AP2" s="38"/>
      <c r="AQ2" s="38"/>
      <c r="AS2" t="s">
        <v>57</v>
      </c>
      <c r="AT2" s="122"/>
      <c r="AU2" s="70" t="s">
        <v>55</v>
      </c>
      <c r="AV2" s="71" t="s">
        <v>56</v>
      </c>
      <c r="AW2" s="125"/>
      <c r="AX2" s="120" t="s">
        <v>55</v>
      </c>
      <c r="AY2" s="120" t="s">
        <v>56</v>
      </c>
      <c r="AZ2" s="120" t="s">
        <v>54</v>
      </c>
    </row>
    <row r="3" spans="1:53" ht="13.5" thickBot="1">
      <c r="A3"/>
      <c r="B3"/>
      <c r="C3" s="190"/>
      <c r="D3" s="171"/>
      <c r="E3" s="19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71"/>
      <c r="W3" s="167"/>
      <c r="X3" s="168"/>
      <c r="Y3" s="168"/>
      <c r="Z3" s="168"/>
      <c r="AA3" s="171"/>
      <c r="AC3" s="39" t="str">
        <f>D5</f>
        <v>Solfronková Ema</v>
      </c>
      <c r="AD3" s="51" t="s">
        <v>8</v>
      </c>
      <c r="AE3" s="53" t="str">
        <f>D15</f>
        <v>Zouharová Beáta</v>
      </c>
      <c r="AF3" s="20" t="s">
        <v>100</v>
      </c>
      <c r="AG3" s="21" t="s">
        <v>103</v>
      </c>
      <c r="AH3" s="21" t="s">
        <v>102</v>
      </c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IF(ISBLANK($AB$4),$A$4,0)</f>
        <v>13</v>
      </c>
      <c r="AQ3" s="37">
        <f>IF(ISBLANK($AB$14),$A$14,0)</f>
        <v>24</v>
      </c>
      <c r="AR3" s="2" t="str">
        <f>CONCATENATE(AP3,"-",AQ3)</f>
        <v>13-24</v>
      </c>
      <c r="AS3">
        <f>$A$8</f>
        <v>19</v>
      </c>
      <c r="AT3" s="123"/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33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13</v>
      </c>
      <c r="AW3" s="123"/>
    </row>
    <row r="4" spans="1:53">
      <c r="A4" s="172">
        <v>13</v>
      </c>
      <c r="B4" s="24"/>
      <c r="C4" s="133">
        <v>1</v>
      </c>
      <c r="D4" s="33" t="str">
        <f>IF(COUNTIF(seznam!$A$2:$A$25,A4)=1,VLOOKUP(A4,seznam!$A$2:$C$25,3,FALSE),"------")</f>
        <v>MS Brno</v>
      </c>
      <c r="E4" s="140"/>
      <c r="F4" s="141"/>
      <c r="G4" s="142"/>
      <c r="H4" s="152">
        <f>AK12</f>
        <v>3</v>
      </c>
      <c r="I4" s="146" t="s">
        <v>6</v>
      </c>
      <c r="J4" s="153">
        <f>AM12</f>
        <v>0</v>
      </c>
      <c r="K4" s="152">
        <f>AM18</f>
        <v>3</v>
      </c>
      <c r="L4" s="146" t="s">
        <v>6</v>
      </c>
      <c r="M4" s="153">
        <f>AK18</f>
        <v>0</v>
      </c>
      <c r="N4" s="152">
        <f>AK25</f>
        <v>3</v>
      </c>
      <c r="O4" s="146" t="s">
        <v>6</v>
      </c>
      <c r="P4" s="146">
        <f>AM25</f>
        <v>0</v>
      </c>
      <c r="Q4" s="152">
        <f>AM33</f>
        <v>3</v>
      </c>
      <c r="R4" s="146" t="s">
        <v>6</v>
      </c>
      <c r="S4" s="153">
        <f>AK33</f>
        <v>0</v>
      </c>
      <c r="T4" s="152">
        <f>AK3</f>
        <v>3</v>
      </c>
      <c r="U4" s="146" t="s">
        <v>6</v>
      </c>
      <c r="V4" s="186">
        <f>AM3</f>
        <v>0</v>
      </c>
      <c r="W4" s="146">
        <f>H4+K4+N4+Q4+T4</f>
        <v>15</v>
      </c>
      <c r="X4" s="146" t="s">
        <v>6</v>
      </c>
      <c r="Y4" s="153">
        <f>J4+M4+P4+S4+V4</f>
        <v>0</v>
      </c>
      <c r="Z4" s="194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72">
        <v>1</v>
      </c>
      <c r="AB4" s="192"/>
      <c r="AC4" s="40" t="str">
        <f>D7</f>
        <v>Svobodová Kristýna</v>
      </c>
      <c r="AD4" s="7" t="s">
        <v>8</v>
      </c>
      <c r="AE4" s="54" t="str">
        <f>D13</f>
        <v>Klašková Alžběta</v>
      </c>
      <c r="AF4" s="22" t="s">
        <v>106</v>
      </c>
      <c r="AG4" s="19" t="s">
        <v>104</v>
      </c>
      <c r="AH4" s="19" t="s">
        <v>107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IF(ISBLANK($AB$6),$A$6,0)</f>
        <v>22</v>
      </c>
      <c r="AQ4" s="37">
        <f>IF(ISBLANK($AB$12),$A$12,0)</f>
        <v>16</v>
      </c>
      <c r="AR4" s="2" t="str">
        <f t="shared" ref="AR4:AR36" si="3">CONCATENATE(AP4,"-",AQ4)</f>
        <v>22-16</v>
      </c>
      <c r="AS4">
        <f>$A$10</f>
        <v>17</v>
      </c>
      <c r="AT4" s="123"/>
      <c r="AU4">
        <f t="shared" si="1"/>
        <v>17</v>
      </c>
      <c r="AV4">
        <f t="shared" si="2"/>
        <v>34</v>
      </c>
      <c r="AW4" s="123"/>
      <c r="AX4" s="120" cm="1">
        <f t="array" aca="1" ref="AX4" ca="1">SUMIF($AP$3:$AP$36,INDIRECT(ADDRESS(ROW(),1)),$AU$3:$AU$36) + SUMIF($AQ$3:$AQ$36,INDIRECT(ADDRESS(ROW(),1)),$AV$3:$AV$36)</f>
        <v>165</v>
      </c>
      <c r="AY4" s="120" cm="1">
        <f t="array" aca="1" ref="AY4" ca="1">SUMIF($AP$3:$AP$36,INDIRECT(ADDRESS(ROW(),1)),$AV$3:$AV$36) + SUMIF($AQ$3:$AQ$36,INDIRECT(ADDRESS(ROW(),1)),$AU$3:$AU$36)</f>
        <v>91</v>
      </c>
      <c r="AZ4" s="120">
        <f ca="1">IFERROR(AX4/AY4,"")</f>
        <v>1.8131868131868132</v>
      </c>
      <c r="BA4" t="str">
        <f>IF(AND(ISBLANK($AB4),$A4&gt;0),IF(VLOOKUP($A4,seznam!$A$2:$C$197,2)&gt;0,VLOOKUP($A4,seznam!$A$2:$C$197,2),"------"),"------")</f>
        <v>Solfronková Ema</v>
      </c>
    </row>
    <row r="5" spans="1:53">
      <c r="A5" s="173"/>
      <c r="B5"/>
      <c r="C5" s="134"/>
      <c r="D5" s="31" t="str">
        <f>IF(COUNTIF(seznam!$A$2:$A$25,A4)=1,VLOOKUP(A4,seznam!$A$2:$C$25,2,FALSE),"------")</f>
        <v>Solfronková Ema</v>
      </c>
      <c r="E5" s="143"/>
      <c r="F5" s="144"/>
      <c r="G5" s="145"/>
      <c r="H5" s="151"/>
      <c r="I5" s="130"/>
      <c r="J5" s="138"/>
      <c r="K5" s="151"/>
      <c r="L5" s="130"/>
      <c r="M5" s="138"/>
      <c r="N5" s="151"/>
      <c r="O5" s="130"/>
      <c r="P5" s="148"/>
      <c r="Q5" s="151"/>
      <c r="R5" s="130"/>
      <c r="S5" s="138"/>
      <c r="T5" s="151"/>
      <c r="U5" s="130"/>
      <c r="V5" s="157"/>
      <c r="W5" s="148"/>
      <c r="X5" s="148"/>
      <c r="Y5" s="138"/>
      <c r="Z5" s="132"/>
      <c r="AA5" s="173"/>
      <c r="AB5" s="193"/>
      <c r="AC5" s="40" t="str">
        <f>D9</f>
        <v>Žilková Elen</v>
      </c>
      <c r="AD5" s="7" t="s">
        <v>8</v>
      </c>
      <c r="AE5" s="54" t="str">
        <f>D11</f>
        <v>Křepelová Kamila</v>
      </c>
      <c r="AF5" s="22" t="s">
        <v>98</v>
      </c>
      <c r="AG5" s="19" t="s">
        <v>102</v>
      </c>
      <c r="AH5" s="19" t="s">
        <v>109</v>
      </c>
      <c r="AI5" s="19" t="s">
        <v>105</v>
      </c>
      <c r="AJ5" s="52" t="s">
        <v>107</v>
      </c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2</v>
      </c>
      <c r="AL5" s="13" t="s">
        <v>6</v>
      </c>
      <c r="AM5" s="27">
        <f t="shared" si="0"/>
        <v>3</v>
      </c>
      <c r="AN5" s="35"/>
      <c r="AO5" s="37"/>
      <c r="AP5" s="37">
        <f>IF(ISBLANK($AB$8),$A$8,0)</f>
        <v>19</v>
      </c>
      <c r="AQ5" s="37">
        <f>IF(ISBLANK($AB$10),$A$10,0)</f>
        <v>17</v>
      </c>
      <c r="AR5" s="2" t="str">
        <f t="shared" si="3"/>
        <v>19-17</v>
      </c>
      <c r="AS5">
        <f>$A$4</f>
        <v>13</v>
      </c>
      <c r="AT5" s="123"/>
      <c r="AU5">
        <f t="shared" si="1"/>
        <v>46</v>
      </c>
      <c r="AV5">
        <f t="shared" si="2"/>
        <v>45</v>
      </c>
      <c r="AW5" s="123"/>
      <c r="AX5" s="120"/>
      <c r="AY5" s="120"/>
      <c r="AZ5" s="120"/>
    </row>
    <row r="6" spans="1:53">
      <c r="A6" s="172">
        <v>22</v>
      </c>
      <c r="B6" s="24"/>
      <c r="C6" s="139">
        <v>2</v>
      </c>
      <c r="D6" s="34" t="str">
        <f>IF(COUNTIF(seznam!$A$2:$A$25,A6)=1,VLOOKUP(A6,seznam!$A$2:$C$25,3,FALSE),"------")</f>
        <v>Jiskra Strážnice</v>
      </c>
      <c r="E6" s="149">
        <f>AM12</f>
        <v>0</v>
      </c>
      <c r="F6" s="129" t="s">
        <v>6</v>
      </c>
      <c r="G6" s="147">
        <f>AK12</f>
        <v>3</v>
      </c>
      <c r="H6" s="175"/>
      <c r="I6" s="176"/>
      <c r="J6" s="183"/>
      <c r="K6" s="150">
        <f>AK26</f>
        <v>2</v>
      </c>
      <c r="L6" s="129" t="s">
        <v>6</v>
      </c>
      <c r="M6" s="147">
        <f>AM26</f>
        <v>3</v>
      </c>
      <c r="N6" s="150">
        <f>AM32</f>
        <v>1</v>
      </c>
      <c r="O6" s="129" t="s">
        <v>6</v>
      </c>
      <c r="P6" s="129">
        <f>AK32</f>
        <v>3</v>
      </c>
      <c r="Q6" s="150">
        <f>AK4</f>
        <v>0</v>
      </c>
      <c r="R6" s="129" t="s">
        <v>6</v>
      </c>
      <c r="S6" s="147">
        <f>AM4</f>
        <v>3</v>
      </c>
      <c r="T6" s="150">
        <f>AK17</f>
        <v>3</v>
      </c>
      <c r="U6" s="129" t="s">
        <v>6</v>
      </c>
      <c r="V6" s="156">
        <f>AM17</f>
        <v>0</v>
      </c>
      <c r="W6" s="129">
        <f>E6+K6+N6+Q6+T6</f>
        <v>6</v>
      </c>
      <c r="X6" s="129" t="s">
        <v>6</v>
      </c>
      <c r="Y6" s="147">
        <f>G6+M6+P6+S6+V6</f>
        <v>12</v>
      </c>
      <c r="Z6" s="131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6</v>
      </c>
      <c r="AA6" s="172">
        <v>5</v>
      </c>
      <c r="AB6" s="192"/>
      <c r="AC6" s="40" t="str">
        <f>D20</f>
        <v>Pilitowská Ela</v>
      </c>
      <c r="AD6" s="7"/>
      <c r="AE6" s="54" t="str">
        <f>D30</f>
        <v>Jonášová Kristýna</v>
      </c>
      <c r="AF6" s="22" t="s">
        <v>108</v>
      </c>
      <c r="AG6" s="19" t="s">
        <v>98</v>
      </c>
      <c r="AH6" s="19" t="s">
        <v>108</v>
      </c>
      <c r="AI6" s="19" t="s">
        <v>112</v>
      </c>
      <c r="AJ6" s="52" t="s">
        <v>98</v>
      </c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2</v>
      </c>
      <c r="AN6" s="35"/>
      <c r="AO6" s="37"/>
      <c r="AP6" s="37">
        <f>IF(ISBLANK($AB$19),$A$19,0)</f>
        <v>14</v>
      </c>
      <c r="AQ6" s="37">
        <f>IF(ISBLANK($AB$29),$A$29,0)</f>
        <v>23</v>
      </c>
      <c r="AR6" s="2" t="str">
        <f t="shared" si="3"/>
        <v>14-23</v>
      </c>
      <c r="AS6">
        <f>$A$23</f>
        <v>20</v>
      </c>
      <c r="AT6" s="123"/>
      <c r="AU6">
        <f t="shared" si="1"/>
        <v>49</v>
      </c>
      <c r="AV6">
        <f t="shared" si="2"/>
        <v>41</v>
      </c>
      <c r="AW6" s="123"/>
      <c r="AX6" s="120" cm="1">
        <f t="array" aca="1" ref="AX6" ca="1">SUMIF($AP$3:$AP$36,INDIRECT(ADDRESS(ROW(),1)),$AU$3:$AU$36) + SUMIF($AQ$3:$AQ$36,INDIRECT(ADDRESS(ROW(),1)),$AV$3:$AV$36)</f>
        <v>155</v>
      </c>
      <c r="AY6" s="120" cm="1">
        <f t="array" aca="1" ref="AY6" ca="1">SUMIF($AP$3:$AP$36,INDIRECT(ADDRESS(ROW(),1)),$AV$3:$AV$36) + SUMIF($AQ$3:$AQ$36,INDIRECT(ADDRESS(ROW(),1)),$AU$3:$AU$36)</f>
        <v>177</v>
      </c>
      <c r="AZ6" s="120">
        <f ca="1">IFERROR(AX6/AY6,"")</f>
        <v>0.87570621468926557</v>
      </c>
      <c r="BA6" t="str">
        <f>IF(AND(ISBLANK($AB6),$A6&gt;0),IF(VLOOKUP($A6,seznam!$A$2:$C$197,2)&gt;0,VLOOKUP($A6,seznam!$A$2:$C$197,2),"------"),"------")</f>
        <v>Svobodová Kristýna</v>
      </c>
    </row>
    <row r="7" spans="1:53">
      <c r="A7" s="173"/>
      <c r="B7"/>
      <c r="C7" s="134"/>
      <c r="D7" s="31" t="str">
        <f>IF(COUNTIF(seznam!$A$2:$A$25,A6)=1,VLOOKUP(A6,seznam!$A$2:$C$25,2,FALSE),"------")</f>
        <v>Svobodová Kristýna</v>
      </c>
      <c r="E7" s="136"/>
      <c r="F7" s="130"/>
      <c r="G7" s="138"/>
      <c r="H7" s="184"/>
      <c r="I7" s="144"/>
      <c r="J7" s="145"/>
      <c r="K7" s="151"/>
      <c r="L7" s="130"/>
      <c r="M7" s="138"/>
      <c r="N7" s="151"/>
      <c r="O7" s="130"/>
      <c r="P7" s="148"/>
      <c r="Q7" s="151"/>
      <c r="R7" s="130"/>
      <c r="S7" s="138"/>
      <c r="T7" s="151"/>
      <c r="U7" s="130"/>
      <c r="V7" s="157"/>
      <c r="W7" s="148"/>
      <c r="X7" s="130"/>
      <c r="Y7" s="138"/>
      <c r="Z7" s="132"/>
      <c r="AA7" s="173"/>
      <c r="AB7" s="193"/>
      <c r="AC7" s="40" t="str">
        <f>D22</f>
        <v>Krupková Klaudie</v>
      </c>
      <c r="AD7" s="7"/>
      <c r="AE7" s="54" t="str">
        <f>D28</f>
        <v>Straková Adéla</v>
      </c>
      <c r="AF7" s="22" t="s">
        <v>104</v>
      </c>
      <c r="AG7" s="19" t="s">
        <v>105</v>
      </c>
      <c r="AH7" s="19" t="s">
        <v>106</v>
      </c>
      <c r="AI7" s="19"/>
      <c r="AJ7" s="52"/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0</v>
      </c>
      <c r="AL7" s="13" t="s">
        <v>6</v>
      </c>
      <c r="AM7" s="27">
        <f t="shared" si="0"/>
        <v>3</v>
      </c>
      <c r="AO7" s="37"/>
      <c r="AP7" s="3">
        <f>IF(ISBLANK($AB$21),$A$21,0)</f>
        <v>21</v>
      </c>
      <c r="AQ7" s="3">
        <f>IF(ISBLANK($AB$27),$A$27,0)</f>
        <v>15</v>
      </c>
      <c r="AR7" s="2" t="str">
        <f t="shared" si="3"/>
        <v>21-15</v>
      </c>
      <c r="AS7">
        <f>$A$25</f>
        <v>18</v>
      </c>
      <c r="AT7" s="123"/>
      <c r="AU7">
        <f t="shared" si="1"/>
        <v>16</v>
      </c>
      <c r="AV7">
        <f t="shared" si="2"/>
        <v>33</v>
      </c>
      <c r="AW7" s="123"/>
      <c r="AX7" s="120"/>
      <c r="AY7" s="120"/>
      <c r="AZ7" s="120"/>
    </row>
    <row r="8" spans="1:53" ht="13.5" thickBot="1">
      <c r="A8" s="172">
        <v>19</v>
      </c>
      <c r="B8" s="24"/>
      <c r="C8" s="139">
        <v>3</v>
      </c>
      <c r="D8" s="34" t="str">
        <f>IF(COUNTIF(seznam!$A$2:$A$25,A8)=1,VLOOKUP(A8,seznam!$A$2:$C$25,3,FALSE),"------")</f>
        <v>Prace</v>
      </c>
      <c r="E8" s="149">
        <f>AK18</f>
        <v>0</v>
      </c>
      <c r="F8" s="129" t="s">
        <v>6</v>
      </c>
      <c r="G8" s="147">
        <f>AM18</f>
        <v>3</v>
      </c>
      <c r="H8" s="150">
        <f>AM26</f>
        <v>3</v>
      </c>
      <c r="I8" s="129" t="s">
        <v>6</v>
      </c>
      <c r="J8" s="147">
        <f>AK26</f>
        <v>2</v>
      </c>
      <c r="K8" s="175"/>
      <c r="L8" s="176"/>
      <c r="M8" s="183"/>
      <c r="N8" s="150">
        <f>AK5</f>
        <v>2</v>
      </c>
      <c r="O8" s="129" t="s">
        <v>6</v>
      </c>
      <c r="P8" s="129">
        <f>AM5</f>
        <v>3</v>
      </c>
      <c r="Q8" s="150">
        <f>AM11</f>
        <v>0</v>
      </c>
      <c r="R8" s="129" t="s">
        <v>6</v>
      </c>
      <c r="S8" s="147">
        <f>AK11</f>
        <v>3</v>
      </c>
      <c r="T8" s="150">
        <f>AK31</f>
        <v>3</v>
      </c>
      <c r="U8" s="129" t="s">
        <v>6</v>
      </c>
      <c r="V8" s="156">
        <f>AM31</f>
        <v>0</v>
      </c>
      <c r="W8" s="129">
        <f>H8+E8+N8+Q8+T8</f>
        <v>8</v>
      </c>
      <c r="X8" s="129" t="s">
        <v>6</v>
      </c>
      <c r="Y8" s="147">
        <f>J8+G8+P8+S8+V8</f>
        <v>11</v>
      </c>
      <c r="Z8" s="131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7</v>
      </c>
      <c r="AA8" s="172">
        <v>4</v>
      </c>
      <c r="AB8" s="192"/>
      <c r="AC8" s="41" t="str">
        <f>D24</f>
        <v>Maradová Eliška</v>
      </c>
      <c r="AD8" s="42"/>
      <c r="AE8" s="55" t="str">
        <f>D26</f>
        <v>Hasoňová Jana</v>
      </c>
      <c r="AF8" s="43" t="s">
        <v>101</v>
      </c>
      <c r="AG8" s="44" t="s">
        <v>105</v>
      </c>
      <c r="AH8" s="44" t="s">
        <v>106</v>
      </c>
      <c r="AI8" s="44" t="s">
        <v>104</v>
      </c>
      <c r="AJ8" s="57"/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1</v>
      </c>
      <c r="AL8" s="46" t="s">
        <v>6</v>
      </c>
      <c r="AM8" s="47">
        <f t="shared" si="0"/>
        <v>3</v>
      </c>
      <c r="AN8" s="35"/>
      <c r="AO8" s="37"/>
      <c r="AP8" s="37">
        <f>IF(ISBLANK($AB$23),$A$23,0)</f>
        <v>20</v>
      </c>
      <c r="AQ8" s="37">
        <f>IF(ISBLANK($AB$25),$A$25,0)</f>
        <v>18</v>
      </c>
      <c r="AR8" s="2" t="str">
        <f t="shared" si="3"/>
        <v>20-18</v>
      </c>
      <c r="AS8">
        <f>$A$19</f>
        <v>14</v>
      </c>
      <c r="AT8" s="123"/>
      <c r="AU8">
        <f t="shared" si="1"/>
        <v>27</v>
      </c>
      <c r="AV8">
        <f t="shared" si="2"/>
        <v>41</v>
      </c>
      <c r="AW8" s="123"/>
      <c r="AX8" s="120" cm="1">
        <f t="array" aca="1" ref="AX8" ca="1">SUMIF($AP$3:$AP$36,INDIRECT(ADDRESS(ROW(),1)),$AU$3:$AU$36) + SUMIF($AQ$3:$AQ$36,INDIRECT(ADDRESS(ROW(),1)),$AV$3:$AV$36)</f>
        <v>162</v>
      </c>
      <c r="AY8" s="120" cm="1">
        <f t="array" aca="1" ref="AY8" ca="1">SUMIF($AP$3:$AP$36,INDIRECT(ADDRESS(ROW(),1)),$AV$3:$AV$36) + SUMIF($AQ$3:$AQ$36,INDIRECT(ADDRESS(ROW(),1)),$AU$3:$AU$36)</f>
        <v>169</v>
      </c>
      <c r="AZ8" s="120">
        <f ca="1">IFERROR(AX8/AY8,"")</f>
        <v>0.95857988165680474</v>
      </c>
      <c r="BA8" t="str">
        <f>IF(AND(ISBLANK($AB8),$A8&gt;0),IF(VLOOKUP($A8,seznam!$A$2:$C$197,2)&gt;0,VLOOKUP($A8,seznam!$A$2:$C$197,2),"------"),"------")</f>
        <v>Žilková Elen</v>
      </c>
    </row>
    <row r="9" spans="1:53" ht="13.5" thickBot="1">
      <c r="A9" s="173"/>
      <c r="B9"/>
      <c r="C9" s="134"/>
      <c r="D9" s="31" t="str">
        <f>IF(COUNTIF(seznam!$A$2:$A$25,A8)=1,VLOOKUP(A8,seznam!$A$2:$C$25,2,FALSE),"------")</f>
        <v>Žilková Elen</v>
      </c>
      <c r="E9" s="136"/>
      <c r="F9" s="130"/>
      <c r="G9" s="138"/>
      <c r="H9" s="151"/>
      <c r="I9" s="130"/>
      <c r="J9" s="138"/>
      <c r="K9" s="184"/>
      <c r="L9" s="144"/>
      <c r="M9" s="145"/>
      <c r="N9" s="151"/>
      <c r="O9" s="130"/>
      <c r="P9" s="148"/>
      <c r="Q9" s="151"/>
      <c r="R9" s="130"/>
      <c r="S9" s="138"/>
      <c r="T9" s="151"/>
      <c r="U9" s="130"/>
      <c r="V9" s="157"/>
      <c r="W9" s="148"/>
      <c r="X9" s="148"/>
      <c r="Y9" s="138"/>
      <c r="Z9" s="132"/>
      <c r="AA9" s="173"/>
      <c r="AB9" s="193"/>
      <c r="AC9" s="4" t="s">
        <v>11</v>
      </c>
      <c r="AN9" s="35"/>
      <c r="AO9" s="37"/>
      <c r="AP9" s="37"/>
      <c r="AQ9" s="37"/>
      <c r="AT9" s="123"/>
      <c r="AW9" s="123"/>
      <c r="AX9" s="120"/>
      <c r="AY9" s="120"/>
      <c r="AZ9" s="120"/>
    </row>
    <row r="10" spans="1:53">
      <c r="A10" s="172">
        <v>17</v>
      </c>
      <c r="B10" s="24"/>
      <c r="C10" s="139">
        <v>4</v>
      </c>
      <c r="D10" s="34" t="str">
        <f>IF(COUNTIF(seznam!$A$2:$A$25,A10)=1,VLOOKUP(A10,seznam!$A$2:$C$25,3,FALSE),"------")</f>
        <v>STK Zbraslavec</v>
      </c>
      <c r="E10" s="149">
        <f>AM25</f>
        <v>0</v>
      </c>
      <c r="F10" s="129" t="s">
        <v>6</v>
      </c>
      <c r="G10" s="147">
        <f>AK25</f>
        <v>3</v>
      </c>
      <c r="H10" s="150">
        <f>AK32</f>
        <v>3</v>
      </c>
      <c r="I10" s="129" t="s">
        <v>6</v>
      </c>
      <c r="J10" s="147">
        <f>AM32</f>
        <v>1</v>
      </c>
      <c r="K10" s="150">
        <f>AM5</f>
        <v>3</v>
      </c>
      <c r="L10" s="129" t="s">
        <v>6</v>
      </c>
      <c r="M10" s="147">
        <f>AK5</f>
        <v>2</v>
      </c>
      <c r="N10" s="175"/>
      <c r="O10" s="176"/>
      <c r="P10" s="176"/>
      <c r="Q10" s="150">
        <f>AK19</f>
        <v>0</v>
      </c>
      <c r="R10" s="129" t="s">
        <v>6</v>
      </c>
      <c r="S10" s="147">
        <f>AM19</f>
        <v>3</v>
      </c>
      <c r="T10" s="150">
        <f>AM10</f>
        <v>3</v>
      </c>
      <c r="U10" s="129" t="s">
        <v>6</v>
      </c>
      <c r="V10" s="156">
        <f>AK10</f>
        <v>0</v>
      </c>
      <c r="W10" s="129">
        <f>H10+K10+E10+Q10+T10</f>
        <v>9</v>
      </c>
      <c r="X10" s="129" t="s">
        <v>6</v>
      </c>
      <c r="Y10" s="147">
        <f>J10+M10+G10+S10+V10</f>
        <v>9</v>
      </c>
      <c r="Z10" s="131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8</v>
      </c>
      <c r="AA10" s="172">
        <v>3</v>
      </c>
      <c r="AB10" s="192"/>
      <c r="AC10" s="39" t="str">
        <f>D15</f>
        <v>Zouharová Beáta</v>
      </c>
      <c r="AD10" s="51" t="s">
        <v>8</v>
      </c>
      <c r="AE10" s="53" t="str">
        <f>D11</f>
        <v>Křepelová Kamila</v>
      </c>
      <c r="AF10" s="20" t="s">
        <v>109</v>
      </c>
      <c r="AG10" s="21" t="s">
        <v>109</v>
      </c>
      <c r="AH10" s="21" t="s">
        <v>105</v>
      </c>
      <c r="AI10" s="21"/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 t="shared" ref="AM10:AM15" si="4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IF(ISBLANK($AB$14),$A$14,0)</f>
        <v>24</v>
      </c>
      <c r="AQ10" s="37">
        <f>IF(ISBLANK($AB$10),$A$10,0)</f>
        <v>17</v>
      </c>
      <c r="AR10" s="2" t="str">
        <f t="shared" si="3"/>
        <v>24-17</v>
      </c>
      <c r="AS10">
        <f>$A$12</f>
        <v>16</v>
      </c>
      <c r="AT10" s="123"/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19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33</v>
      </c>
      <c r="AW10" s="123"/>
      <c r="AX10" s="120" cm="1">
        <f t="array" aca="1" ref="AX10" ca="1">SUMIF($AP$3:$AP$36,INDIRECT(ADDRESS(ROW(),1)),$AU$3:$AU$36) + SUMIF($AQ$3:$AQ$36,INDIRECT(ADDRESS(ROW(),1)),$AV$3:$AV$36)</f>
        <v>149</v>
      </c>
      <c r="AY10" s="120" cm="1">
        <f t="array" aca="1" ref="AY10" ca="1">SUMIF($AP$3:$AP$36,INDIRECT(ADDRESS(ROW(),1)),$AV$3:$AV$36) + SUMIF($AQ$3:$AQ$36,INDIRECT(ADDRESS(ROW(),1)),$AU$3:$AU$36)</f>
        <v>170</v>
      </c>
      <c r="AZ10" s="120">
        <f ca="1">IFERROR(AX10/AY10,"")</f>
        <v>0.87647058823529411</v>
      </c>
      <c r="BA10" t="str">
        <f>IF(AND(ISBLANK($AB10),$A10&gt;0),IF(VLOOKUP($A10,seznam!$A$2:$C$197,2)&gt;0,VLOOKUP($A10,seznam!$A$2:$C$197,2),"------"),"------")</f>
        <v>Křepelová Kamila</v>
      </c>
    </row>
    <row r="11" spans="1:53">
      <c r="A11" s="173"/>
      <c r="B11"/>
      <c r="C11" s="134"/>
      <c r="D11" s="31" t="str">
        <f>IF(COUNTIF(seznam!$A$2:$A$25,A10)=1,VLOOKUP(A10,seznam!$A$2:$C$25,2,FALSE),"------")</f>
        <v>Křepelová Kamila</v>
      </c>
      <c r="E11" s="136"/>
      <c r="F11" s="130"/>
      <c r="G11" s="138"/>
      <c r="H11" s="151"/>
      <c r="I11" s="130"/>
      <c r="J11" s="138"/>
      <c r="K11" s="151"/>
      <c r="L11" s="130"/>
      <c r="M11" s="138"/>
      <c r="N11" s="184"/>
      <c r="O11" s="144"/>
      <c r="P11" s="144"/>
      <c r="Q11" s="151"/>
      <c r="R11" s="130"/>
      <c r="S11" s="138"/>
      <c r="T11" s="151"/>
      <c r="U11" s="130"/>
      <c r="V11" s="157"/>
      <c r="W11" s="148"/>
      <c r="X11" s="148"/>
      <c r="Y11" s="138"/>
      <c r="Z11" s="132"/>
      <c r="AA11" s="173"/>
      <c r="AB11" s="193"/>
      <c r="AC11" s="40" t="str">
        <f>D13</f>
        <v>Klašková Alžběta</v>
      </c>
      <c r="AD11" s="7" t="s">
        <v>8</v>
      </c>
      <c r="AE11" s="54" t="str">
        <f>D9</f>
        <v>Žilková Elen</v>
      </c>
      <c r="AF11" s="22" t="s">
        <v>98</v>
      </c>
      <c r="AG11" s="19" t="s">
        <v>116</v>
      </c>
      <c r="AH11" s="19" t="s">
        <v>118</v>
      </c>
      <c r="AI11" s="19"/>
      <c r="AJ11" s="52"/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4"/>
        <v>0</v>
      </c>
      <c r="AN11" s="35"/>
      <c r="AO11" s="37"/>
      <c r="AP11" s="37">
        <f>IF(ISBLANK($AB$12),$A$12,0)</f>
        <v>16</v>
      </c>
      <c r="AQ11" s="37">
        <f>IF(ISBLANK($AB$8),$A$8,0)</f>
        <v>19</v>
      </c>
      <c r="AR11" s="2" t="str">
        <f t="shared" si="3"/>
        <v>16-19</v>
      </c>
      <c r="AS11">
        <f>$A$6</f>
        <v>22</v>
      </c>
      <c r="AT11" s="123"/>
      <c r="AU11">
        <f t="shared" si="5"/>
        <v>35</v>
      </c>
      <c r="AV11">
        <f t="shared" si="6"/>
        <v>17</v>
      </c>
      <c r="AW11" s="123"/>
      <c r="AX11" s="120"/>
      <c r="AY11" s="120"/>
      <c r="AZ11" s="120"/>
    </row>
    <row r="12" spans="1:53">
      <c r="A12" s="172">
        <v>16</v>
      </c>
      <c r="B12" s="24"/>
      <c r="C12" s="139">
        <v>5</v>
      </c>
      <c r="D12" s="34" t="str">
        <f>IF(COUNTIF(seznam!$A$2:$A$25,A12)=1,VLOOKUP(A12,seznam!$A$2:$C$25,3,FALSE),"------")</f>
        <v>KST FOSFA LVA</v>
      </c>
      <c r="E12" s="149">
        <f>AK33</f>
        <v>0</v>
      </c>
      <c r="F12" s="129" t="s">
        <v>6</v>
      </c>
      <c r="G12" s="147">
        <f>AM33</f>
        <v>3</v>
      </c>
      <c r="H12" s="150">
        <f>AM4</f>
        <v>3</v>
      </c>
      <c r="I12" s="129" t="s">
        <v>6</v>
      </c>
      <c r="J12" s="147">
        <f>AK4</f>
        <v>0</v>
      </c>
      <c r="K12" s="150">
        <f>AK11</f>
        <v>3</v>
      </c>
      <c r="L12" s="129" t="s">
        <v>6</v>
      </c>
      <c r="M12" s="147">
        <f>AM11</f>
        <v>0</v>
      </c>
      <c r="N12" s="150">
        <f>AM19</f>
        <v>3</v>
      </c>
      <c r="O12" s="129" t="s">
        <v>6</v>
      </c>
      <c r="P12" s="129">
        <f>AK19</f>
        <v>0</v>
      </c>
      <c r="Q12" s="175"/>
      <c r="R12" s="176"/>
      <c r="S12" s="183"/>
      <c r="T12" s="150">
        <f>AM24</f>
        <v>3</v>
      </c>
      <c r="U12" s="129" t="s">
        <v>6</v>
      </c>
      <c r="V12" s="156">
        <f>AK24</f>
        <v>0</v>
      </c>
      <c r="W12" s="129">
        <f>H12+K12+N12+E12+T12</f>
        <v>12</v>
      </c>
      <c r="X12" s="129" t="s">
        <v>6</v>
      </c>
      <c r="Y12" s="147">
        <f>J12+M12+P12+G12+V12</f>
        <v>3</v>
      </c>
      <c r="Z12" s="131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72">
        <v>2</v>
      </c>
      <c r="AB12" s="192"/>
      <c r="AC12" s="40" t="str">
        <f>D5</f>
        <v>Solfronková Ema</v>
      </c>
      <c r="AD12" s="7" t="s">
        <v>8</v>
      </c>
      <c r="AE12" s="54" t="str">
        <f>D7</f>
        <v>Svobodová Kristýna</v>
      </c>
      <c r="AF12" s="22" t="s">
        <v>112</v>
      </c>
      <c r="AG12" s="19" t="s">
        <v>112</v>
      </c>
      <c r="AH12" s="19" t="s">
        <v>102</v>
      </c>
      <c r="AI12" s="19"/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4"/>
        <v>0</v>
      </c>
      <c r="AO12" s="37"/>
      <c r="AP12" s="3">
        <f>IF(ISBLANK($AB$4),$A$4,0)</f>
        <v>13</v>
      </c>
      <c r="AQ12" s="3">
        <f>IF(ISBLANK($AB$6),$A$6,0)</f>
        <v>22</v>
      </c>
      <c r="AR12" s="2" t="str">
        <f t="shared" si="3"/>
        <v>13-22</v>
      </c>
      <c r="AS12">
        <f>$A$14</f>
        <v>24</v>
      </c>
      <c r="AT12" s="123"/>
      <c r="AU12">
        <f t="shared" si="5"/>
        <v>33</v>
      </c>
      <c r="AV12">
        <f t="shared" si="6"/>
        <v>24</v>
      </c>
      <c r="AW12" s="123"/>
      <c r="AX12" s="120" cm="1">
        <f t="array" aca="1" ref="AX12" ca="1">SUMIF($AP$3:$AP$36,INDIRECT(ADDRESS(ROW(),1)),$AU$3:$AU$36) + SUMIF($AQ$3:$AQ$36,INDIRECT(ADDRESS(ROW(),1)),$AV$3:$AV$36)</f>
        <v>157</v>
      </c>
      <c r="AY12" s="120" cm="1">
        <f t="array" aca="1" ref="AY12" ca="1">SUMIF($AP$3:$AP$36,INDIRECT(ADDRESS(ROW(),1)),$AV$3:$AV$36) + SUMIF($AQ$3:$AQ$36,INDIRECT(ADDRESS(ROW(),1)),$AU$3:$AU$36)</f>
        <v>89</v>
      </c>
      <c r="AZ12" s="120">
        <f ca="1">IFERROR(AX12/AY12,"")</f>
        <v>1.7640449438202248</v>
      </c>
      <c r="BA12" t="str">
        <f>IF(AND(ISBLANK($AB12),$A12&gt;0),IF(VLOOKUP($A12,seznam!$A$2:$C$197,2)&gt;0,VLOOKUP($A12,seznam!$A$2:$C$197,2),"------"),"------")</f>
        <v>Klašková Alžběta</v>
      </c>
    </row>
    <row r="13" spans="1:53">
      <c r="A13" s="173"/>
      <c r="B13"/>
      <c r="C13" s="134"/>
      <c r="D13" s="31" t="str">
        <f>IF(COUNTIF(seznam!$A$2:$A$25,A12)=1,VLOOKUP(A12,seznam!$A$2:$C$25,2,FALSE),"------")</f>
        <v>Klašková Alžběta</v>
      </c>
      <c r="E13" s="136"/>
      <c r="F13" s="130"/>
      <c r="G13" s="138"/>
      <c r="H13" s="151"/>
      <c r="I13" s="130"/>
      <c r="J13" s="138"/>
      <c r="K13" s="151"/>
      <c r="L13" s="130"/>
      <c r="M13" s="138"/>
      <c r="N13" s="151"/>
      <c r="O13" s="130"/>
      <c r="P13" s="148"/>
      <c r="Q13" s="184"/>
      <c r="R13" s="144"/>
      <c r="S13" s="145"/>
      <c r="T13" s="151"/>
      <c r="U13" s="130"/>
      <c r="V13" s="182"/>
      <c r="W13" s="148"/>
      <c r="X13" s="148"/>
      <c r="Y13" s="138"/>
      <c r="Z13" s="132"/>
      <c r="AA13" s="173"/>
      <c r="AB13" s="193"/>
      <c r="AC13" s="40" t="str">
        <f>D30</f>
        <v>Jonášová Kristýna</v>
      </c>
      <c r="AD13" s="7"/>
      <c r="AE13" s="54" t="str">
        <f>D26</f>
        <v>Hasoňová Jana</v>
      </c>
      <c r="AF13" s="22" t="s">
        <v>102</v>
      </c>
      <c r="AG13" s="19" t="s">
        <v>107</v>
      </c>
      <c r="AH13" s="19" t="s">
        <v>100</v>
      </c>
      <c r="AI13" s="19" t="s">
        <v>98</v>
      </c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3</v>
      </c>
      <c r="AL13" s="13" t="s">
        <v>6</v>
      </c>
      <c r="AM13" s="27">
        <f t="shared" si="4"/>
        <v>1</v>
      </c>
      <c r="AN13" s="35"/>
      <c r="AO13" s="37"/>
      <c r="AP13" s="37">
        <f>IF(ISBLANK($AB$29),$A$29,0)</f>
        <v>23</v>
      </c>
      <c r="AQ13" s="37">
        <f>IF(ISBLANK($AB$25),$A$25,0)</f>
        <v>18</v>
      </c>
      <c r="AR13" s="2" t="str">
        <f t="shared" si="3"/>
        <v>23-18</v>
      </c>
      <c r="AS13">
        <f>$A$27</f>
        <v>15</v>
      </c>
      <c r="AT13" s="123"/>
      <c r="AU13">
        <f t="shared" si="5"/>
        <v>43</v>
      </c>
      <c r="AV13">
        <f t="shared" si="6"/>
        <v>26</v>
      </c>
      <c r="AW13" s="123"/>
      <c r="AX13" s="120"/>
      <c r="AY13" s="120"/>
      <c r="AZ13" s="120"/>
    </row>
    <row r="14" spans="1:53">
      <c r="A14" s="172">
        <v>24</v>
      </c>
      <c r="B14" s="24"/>
      <c r="C14" s="139">
        <v>6</v>
      </c>
      <c r="D14" s="34" t="str">
        <f>IF(COUNTIF(seznam!$A$2:$A$25,A14)=1,VLOOKUP(A14,seznam!$A$2:$C$25,3,FALSE),"------")</f>
        <v>KST Blansko</v>
      </c>
      <c r="E14" s="149">
        <f>AM3</f>
        <v>0</v>
      </c>
      <c r="F14" s="129" t="s">
        <v>6</v>
      </c>
      <c r="G14" s="147">
        <f>AK3</f>
        <v>3</v>
      </c>
      <c r="H14" s="150">
        <f>AM17</f>
        <v>0</v>
      </c>
      <c r="I14" s="129" t="s">
        <v>6</v>
      </c>
      <c r="J14" s="147">
        <f>AK17</f>
        <v>3</v>
      </c>
      <c r="K14" s="150">
        <f>AM31</f>
        <v>0</v>
      </c>
      <c r="L14" s="129" t="s">
        <v>6</v>
      </c>
      <c r="M14" s="147">
        <f>AK31</f>
        <v>3</v>
      </c>
      <c r="N14" s="150">
        <f>AK10</f>
        <v>0</v>
      </c>
      <c r="O14" s="129" t="s">
        <v>6</v>
      </c>
      <c r="P14" s="129">
        <f>AM10</f>
        <v>3</v>
      </c>
      <c r="Q14" s="150">
        <f>AK24</f>
        <v>0</v>
      </c>
      <c r="R14" s="129" t="s">
        <v>6</v>
      </c>
      <c r="S14" s="147">
        <f>AM24</f>
        <v>3</v>
      </c>
      <c r="T14" s="175"/>
      <c r="U14" s="176"/>
      <c r="V14" s="177"/>
      <c r="W14" s="129">
        <f>H14+K14+N14+Q14+E14</f>
        <v>0</v>
      </c>
      <c r="X14" s="129" t="s">
        <v>6</v>
      </c>
      <c r="Y14" s="147">
        <f>J14+M14+P14+S14+G14</f>
        <v>15</v>
      </c>
      <c r="Z14" s="13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72">
        <v>6</v>
      </c>
      <c r="AB14" s="192"/>
      <c r="AC14" s="40" t="str">
        <f>D28</f>
        <v>Straková Adéla</v>
      </c>
      <c r="AD14" s="7"/>
      <c r="AE14" s="54" t="str">
        <f>D24</f>
        <v>Maradová Eliška</v>
      </c>
      <c r="AF14" s="22" t="s">
        <v>102</v>
      </c>
      <c r="AG14" s="19" t="s">
        <v>102</v>
      </c>
      <c r="AH14" s="19" t="s">
        <v>102</v>
      </c>
      <c r="AI14" s="19"/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3</v>
      </c>
      <c r="AL14" s="13" t="s">
        <v>6</v>
      </c>
      <c r="AM14" s="27">
        <f t="shared" si="4"/>
        <v>0</v>
      </c>
      <c r="AN14" s="35"/>
      <c r="AO14" s="37"/>
      <c r="AP14" s="37">
        <f>IF(ISBLANK($AB$27),$A$27,0)</f>
        <v>15</v>
      </c>
      <c r="AQ14" s="37">
        <f>IF(ISBLANK($AB$23),$A$23,0)</f>
        <v>20</v>
      </c>
      <c r="AR14" s="2" t="str">
        <f t="shared" si="3"/>
        <v>15-20</v>
      </c>
      <c r="AS14">
        <f>$A$21</f>
        <v>21</v>
      </c>
      <c r="AT14" s="123"/>
      <c r="AU14">
        <f t="shared" si="5"/>
        <v>33</v>
      </c>
      <c r="AV14">
        <f t="shared" si="6"/>
        <v>18</v>
      </c>
      <c r="AW14" s="123"/>
      <c r="AX14" s="120" cm="1">
        <f t="array" aca="1" ref="AX14" ca="1">SUMIF($AP$3:$AP$36,INDIRECT(ADDRESS(ROW(),1)),$AU$3:$AU$36) + SUMIF($AQ$3:$AQ$36,INDIRECT(ADDRESS(ROW(),1)),$AV$3:$AV$36)</f>
        <v>73</v>
      </c>
      <c r="AY14" s="120" cm="1">
        <f t="array" aca="1" ref="AY14" ca="1">SUMIF($AP$3:$AP$36,INDIRECT(ADDRESS(ROW(),1)),$AV$3:$AV$36) + SUMIF($AQ$3:$AQ$36,INDIRECT(ADDRESS(ROW(),1)),$AU$3:$AU$36)</f>
        <v>165</v>
      </c>
      <c r="AZ14" s="120">
        <f ca="1">IFERROR(AX14/AY14,"")</f>
        <v>0.44242424242424244</v>
      </c>
      <c r="BA14" t="str">
        <f>IF(AND(ISBLANK($AB14),$A14&gt;0),IF(VLOOKUP($A14,seznam!$A$2:$C$197,2)&gt;0,VLOOKUP($A14,seznam!$A$2:$C$197,2),"------"),"------")</f>
        <v>Zouharová Beáta</v>
      </c>
    </row>
    <row r="15" spans="1:53" ht="13.5" thickBot="1">
      <c r="A15" s="173"/>
      <c r="B15"/>
      <c r="C15" s="174"/>
      <c r="D15" s="32" t="str">
        <f>IF(COUNTIF(seznam!$A$2:$A$25,A14)=1,VLOOKUP(A14,seznam!$A$2:$C$25,2,FALSE),"------")</f>
        <v>Zouharová Beáta</v>
      </c>
      <c r="E15" s="161"/>
      <c r="F15" s="155"/>
      <c r="G15" s="163"/>
      <c r="H15" s="158"/>
      <c r="I15" s="155"/>
      <c r="J15" s="163"/>
      <c r="K15" s="158"/>
      <c r="L15" s="155"/>
      <c r="M15" s="163"/>
      <c r="N15" s="158"/>
      <c r="O15" s="155"/>
      <c r="P15" s="181"/>
      <c r="Q15" s="158"/>
      <c r="R15" s="155"/>
      <c r="S15" s="163"/>
      <c r="T15" s="178"/>
      <c r="U15" s="179"/>
      <c r="V15" s="180"/>
      <c r="W15" s="181"/>
      <c r="X15" s="155"/>
      <c r="Y15" s="163"/>
      <c r="Z15" s="162"/>
      <c r="AA15" s="173"/>
      <c r="AB15" s="193"/>
      <c r="AC15" s="41" t="str">
        <f>D20</f>
        <v>Pilitowská Ela</v>
      </c>
      <c r="AD15" s="42"/>
      <c r="AE15" s="55" t="str">
        <f>D22</f>
        <v>Krupková Klaudie</v>
      </c>
      <c r="AF15" s="43" t="s">
        <v>101</v>
      </c>
      <c r="AG15" s="44" t="s">
        <v>110</v>
      </c>
      <c r="AH15" s="44" t="s">
        <v>101</v>
      </c>
      <c r="AI15" s="44"/>
      <c r="AJ15" s="57"/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4"/>
        <v>0</v>
      </c>
      <c r="AN15" s="35"/>
      <c r="AO15" s="37"/>
      <c r="AP15" s="37">
        <f>IF(ISBLANK($AB$19),$A$19,0)</f>
        <v>14</v>
      </c>
      <c r="AQ15" s="37">
        <f>IF(ISBLANK($AB$21),$A$21,0)</f>
        <v>21</v>
      </c>
      <c r="AR15" s="2" t="str">
        <f t="shared" si="3"/>
        <v>14-21</v>
      </c>
      <c r="AS15">
        <f>$A$29</f>
        <v>23</v>
      </c>
      <c r="AT15" s="123"/>
      <c r="AU15">
        <f t="shared" si="5"/>
        <v>34</v>
      </c>
      <c r="AV15">
        <f t="shared" si="6"/>
        <v>26</v>
      </c>
      <c r="AW15" s="123"/>
      <c r="AX15" s="120"/>
      <c r="AY15" s="120"/>
      <c r="AZ15" s="120"/>
    </row>
    <row r="16" spans="1:53" ht="13.5" thickBot="1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37"/>
      <c r="AT16" s="123"/>
      <c r="AW16" s="123"/>
      <c r="AX16" s="120"/>
      <c r="AY16" s="120"/>
      <c r="AZ16" s="120"/>
    </row>
    <row r="17" spans="1:53">
      <c r="C17" s="188" t="s">
        <v>38</v>
      </c>
      <c r="D17" s="189"/>
      <c r="E17" s="188">
        <v>1</v>
      </c>
      <c r="F17" s="166"/>
      <c r="G17" s="166"/>
      <c r="H17" s="169">
        <v>2</v>
      </c>
      <c r="I17" s="166"/>
      <c r="J17" s="166"/>
      <c r="K17" s="169">
        <v>3</v>
      </c>
      <c r="L17" s="166"/>
      <c r="M17" s="166"/>
      <c r="N17" s="169">
        <v>4</v>
      </c>
      <c r="O17" s="166"/>
      <c r="P17" s="166"/>
      <c r="Q17" s="169">
        <v>5</v>
      </c>
      <c r="R17" s="166"/>
      <c r="S17" s="166"/>
      <c r="T17" s="169">
        <v>6</v>
      </c>
      <c r="U17" s="166"/>
      <c r="V17" s="189"/>
      <c r="W17" s="165" t="s">
        <v>3</v>
      </c>
      <c r="X17" s="166"/>
      <c r="Y17" s="166"/>
      <c r="Z17" s="169"/>
      <c r="AA17" s="170"/>
      <c r="AC17" s="39" t="str">
        <f>D7</f>
        <v>Svobodová Kristýna</v>
      </c>
      <c r="AD17" s="51" t="s">
        <v>8</v>
      </c>
      <c r="AE17" s="53" t="str">
        <f>D15</f>
        <v>Zouharová Beáta</v>
      </c>
      <c r="AF17" s="20" t="s">
        <v>102</v>
      </c>
      <c r="AG17" s="21" t="s">
        <v>98</v>
      </c>
      <c r="AH17" s="21" t="s">
        <v>102</v>
      </c>
      <c r="AI17" s="21"/>
      <c r="AJ17" s="56"/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 t="shared" ref="AM17:AM22" si="7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0</v>
      </c>
      <c r="AO17" s="37"/>
      <c r="AP17" s="3">
        <f>IF(ISBLANK($AB$6),$A$6,0)</f>
        <v>22</v>
      </c>
      <c r="AQ17" s="37">
        <f>IF(ISBLANK($AB$14),$A$14,0)</f>
        <v>24</v>
      </c>
      <c r="AR17" s="2" t="str">
        <f t="shared" si="3"/>
        <v>22-24</v>
      </c>
      <c r="AS17">
        <f>$A$10</f>
        <v>17</v>
      </c>
      <c r="AT17" s="123"/>
      <c r="AU17">
        <f t="shared" ref="AU17:AU22" si="8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33</v>
      </c>
      <c r="AV17">
        <f t="shared" ref="AV17:AV22" si="9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17</v>
      </c>
      <c r="AW17" s="123"/>
      <c r="AX17" s="120"/>
      <c r="AY17" s="120"/>
      <c r="AZ17" s="120"/>
    </row>
    <row r="18" spans="1:53" ht="13.5" thickBot="1">
      <c r="A18"/>
      <c r="B18"/>
      <c r="C18" s="190"/>
      <c r="D18" s="171"/>
      <c r="E18" s="190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71"/>
      <c r="W18" s="167"/>
      <c r="X18" s="168"/>
      <c r="Y18" s="168"/>
      <c r="Z18" s="168"/>
      <c r="AA18" s="171"/>
      <c r="AC18" s="40" t="str">
        <f>D9</f>
        <v>Žilková Elen</v>
      </c>
      <c r="AD18" s="7" t="s">
        <v>8</v>
      </c>
      <c r="AE18" s="54" t="str">
        <f>D5</f>
        <v>Solfronková Ema</v>
      </c>
      <c r="AF18" s="22" t="s">
        <v>113</v>
      </c>
      <c r="AG18" s="19" t="s">
        <v>104</v>
      </c>
      <c r="AH18" s="19" t="s">
        <v>119</v>
      </c>
      <c r="AI18" s="19"/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0</v>
      </c>
      <c r="AL18" s="13" t="s">
        <v>6</v>
      </c>
      <c r="AM18" s="27">
        <f t="shared" si="7"/>
        <v>3</v>
      </c>
      <c r="AN18" s="35"/>
      <c r="AO18" s="37"/>
      <c r="AP18" s="37">
        <f>IF(ISBLANK($AB$8),$A$8,0)</f>
        <v>19</v>
      </c>
      <c r="AQ18" s="37">
        <f>IF(ISBLANK($AB$4),$A$4,0)</f>
        <v>13</v>
      </c>
      <c r="AR18" s="2" t="str">
        <f t="shared" si="3"/>
        <v>19-13</v>
      </c>
      <c r="AS18">
        <f>$A$12</f>
        <v>16</v>
      </c>
      <c r="AT18" s="123"/>
      <c r="AU18">
        <f t="shared" si="8"/>
        <v>17</v>
      </c>
      <c r="AV18">
        <f t="shared" si="9"/>
        <v>33</v>
      </c>
      <c r="AW18" s="123"/>
      <c r="AX18" s="120"/>
      <c r="AY18" s="120"/>
      <c r="AZ18" s="120"/>
    </row>
    <row r="19" spans="1:53">
      <c r="A19" s="172">
        <v>14</v>
      </c>
      <c r="B19" s="24"/>
      <c r="C19" s="139">
        <v>1</v>
      </c>
      <c r="D19" s="29" t="str">
        <f>IF(COUNTIF(seznam!$A$2:$A$25,A19)=1,VLOOKUP(A19,seznam!$A$2:$C$25,3,FALSE),"------")</f>
        <v>KST Blansko</v>
      </c>
      <c r="E19" s="140"/>
      <c r="F19" s="141"/>
      <c r="G19" s="142"/>
      <c r="H19" s="152">
        <f>AK15</f>
        <v>3</v>
      </c>
      <c r="I19" s="146" t="s">
        <v>6</v>
      </c>
      <c r="J19" s="153">
        <f>AM15</f>
        <v>0</v>
      </c>
      <c r="K19" s="152">
        <f>AM21</f>
        <v>3</v>
      </c>
      <c r="L19" s="146" t="s">
        <v>6</v>
      </c>
      <c r="M19" s="153">
        <f>AK21</f>
        <v>1</v>
      </c>
      <c r="N19" s="152">
        <f>AK28</f>
        <v>3</v>
      </c>
      <c r="O19" s="146" t="s">
        <v>6</v>
      </c>
      <c r="P19" s="146">
        <f>AM28</f>
        <v>0</v>
      </c>
      <c r="Q19" s="152">
        <f>AM36</f>
        <v>2</v>
      </c>
      <c r="R19" s="146" t="s">
        <v>6</v>
      </c>
      <c r="S19" s="153">
        <f>AK36</f>
        <v>3</v>
      </c>
      <c r="T19" s="152">
        <f>AK6</f>
        <v>3</v>
      </c>
      <c r="U19" s="146" t="s">
        <v>6</v>
      </c>
      <c r="V19" s="186">
        <f>AM6</f>
        <v>2</v>
      </c>
      <c r="W19" s="129">
        <f>H19+K19+N19+Q19+T19</f>
        <v>14</v>
      </c>
      <c r="X19" s="129" t="s">
        <v>6</v>
      </c>
      <c r="Y19" s="147">
        <f>J19+M19+P19+S19+V19</f>
        <v>6</v>
      </c>
      <c r="Z19" s="194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172">
        <v>2</v>
      </c>
      <c r="AB19" s="192"/>
      <c r="AC19" s="40" t="str">
        <f>D11</f>
        <v>Křepelová Kamila</v>
      </c>
      <c r="AD19" s="7" t="s">
        <v>8</v>
      </c>
      <c r="AE19" s="54" t="str">
        <f>D13</f>
        <v>Klašková Alžběta</v>
      </c>
      <c r="AF19" s="22" t="s">
        <v>109</v>
      </c>
      <c r="AG19" s="19" t="s">
        <v>106</v>
      </c>
      <c r="AH19" s="19" t="s">
        <v>104</v>
      </c>
      <c r="AI19" s="19"/>
      <c r="AJ19" s="52"/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0</v>
      </c>
      <c r="AL19" s="13" t="s">
        <v>6</v>
      </c>
      <c r="AM19" s="27">
        <f t="shared" si="7"/>
        <v>3</v>
      </c>
      <c r="AN19" s="35"/>
      <c r="AO19" s="37"/>
      <c r="AP19" s="37">
        <f>IF(ISBLANK($AB$10),$A$10,0)</f>
        <v>17</v>
      </c>
      <c r="AQ19" s="37">
        <f>IF(ISBLANK($AB$12),$A$12,0)</f>
        <v>16</v>
      </c>
      <c r="AR19" s="2" t="str">
        <f t="shared" si="3"/>
        <v>17-16</v>
      </c>
      <c r="AS19">
        <f>$A$6</f>
        <v>22</v>
      </c>
      <c r="AT19" s="123"/>
      <c r="AU19">
        <f t="shared" si="8"/>
        <v>12</v>
      </c>
      <c r="AV19">
        <f t="shared" si="9"/>
        <v>33</v>
      </c>
      <c r="AW19" s="123"/>
      <c r="AX19" s="120" cm="1">
        <f t="array" aca="1" ref="AX19" ca="1">SUMIF($AP$3:$AP$36,INDIRECT(ADDRESS(ROW(),1)),$AU$3:$AU$36) + SUMIF($AQ$3:$AQ$36,INDIRECT(ADDRESS(ROW(),1)),$AV$3:$AV$36)</f>
        <v>198</v>
      </c>
      <c r="AY19" s="120" cm="1">
        <f t="array" aca="1" ref="AY19" ca="1">SUMIF($AP$3:$AP$36,INDIRECT(ADDRESS(ROW(),1)),$AV$3:$AV$36) + SUMIF($AQ$3:$AQ$36,INDIRECT(ADDRESS(ROW(),1)),$AU$3:$AU$36)</f>
        <v>156</v>
      </c>
      <c r="AZ19" s="120">
        <f ca="1">IFERROR(AX19/AY19,"")</f>
        <v>1.2692307692307692</v>
      </c>
      <c r="BA19" t="str">
        <f>IF(AND(ISBLANK($AB19),$A19&gt;0),IF(VLOOKUP($A19,seznam!$A$2:$C$197,2)&gt;0,VLOOKUP($A19,seznam!$A$2:$C$197,2),"------"),"------")</f>
        <v>Pilitowská Ela</v>
      </c>
    </row>
    <row r="20" spans="1:53">
      <c r="A20" s="173"/>
      <c r="B20"/>
      <c r="C20" s="134"/>
      <c r="D20" s="30" t="str">
        <f>IF(COUNTIF(seznam!$A$2:$A$25,A19)=1,VLOOKUP(A19,seznam!$A$2:$C$25,2,FALSE),"------")</f>
        <v>Pilitowská Ela</v>
      </c>
      <c r="E20" s="143"/>
      <c r="F20" s="144"/>
      <c r="G20" s="145"/>
      <c r="H20" s="151"/>
      <c r="I20" s="130"/>
      <c r="J20" s="138"/>
      <c r="K20" s="151"/>
      <c r="L20" s="130"/>
      <c r="M20" s="138"/>
      <c r="N20" s="151"/>
      <c r="O20" s="130"/>
      <c r="P20" s="148"/>
      <c r="Q20" s="151"/>
      <c r="R20" s="130"/>
      <c r="S20" s="138"/>
      <c r="T20" s="151"/>
      <c r="U20" s="130"/>
      <c r="V20" s="157"/>
      <c r="W20" s="148"/>
      <c r="X20" s="148"/>
      <c r="Y20" s="138"/>
      <c r="Z20" s="132"/>
      <c r="AA20" s="173"/>
      <c r="AB20" s="193"/>
      <c r="AC20" s="40" t="str">
        <f>D22</f>
        <v>Krupková Klaudie</v>
      </c>
      <c r="AD20" s="7"/>
      <c r="AE20" s="54" t="str">
        <f>D30</f>
        <v>Jonášová Kristýna</v>
      </c>
      <c r="AF20" s="22" t="s">
        <v>107</v>
      </c>
      <c r="AG20" s="19" t="s">
        <v>107</v>
      </c>
      <c r="AH20" s="19" t="s">
        <v>104</v>
      </c>
      <c r="AI20" s="19"/>
      <c r="AJ20" s="52"/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3" t="s">
        <v>6</v>
      </c>
      <c r="AM20" s="27">
        <f t="shared" si="7"/>
        <v>3</v>
      </c>
      <c r="AN20" s="35"/>
      <c r="AO20" s="37"/>
      <c r="AP20" s="37">
        <f>IF(ISBLANK($AB$21),$A$21,0)</f>
        <v>21</v>
      </c>
      <c r="AQ20" s="37">
        <f>IF(ISBLANK($AB$29),$A$29,0)</f>
        <v>23</v>
      </c>
      <c r="AR20" s="2" t="str">
        <f t="shared" si="3"/>
        <v>21-23</v>
      </c>
      <c r="AS20">
        <f>$A$25</f>
        <v>18</v>
      </c>
      <c r="AT20" s="123"/>
      <c r="AU20">
        <f t="shared" si="8"/>
        <v>24</v>
      </c>
      <c r="AV20">
        <f t="shared" si="9"/>
        <v>35</v>
      </c>
      <c r="AW20" s="123"/>
      <c r="AX20" s="120"/>
      <c r="AY20" s="120"/>
      <c r="AZ20" s="120"/>
    </row>
    <row r="21" spans="1:53">
      <c r="A21" s="172">
        <v>21</v>
      </c>
      <c r="B21" s="24"/>
      <c r="C21" s="139">
        <v>2</v>
      </c>
      <c r="D21" s="29" t="str">
        <f>IF(COUNTIF(seznam!$A$2:$A$25,A21)=1,VLOOKUP(A21,seznam!$A$2:$C$25,3,FALSE),"------")</f>
        <v>KST Blansko</v>
      </c>
      <c r="E21" s="149">
        <f>AM15</f>
        <v>0</v>
      </c>
      <c r="F21" s="129" t="s">
        <v>6</v>
      </c>
      <c r="G21" s="147">
        <f>AK15</f>
        <v>3</v>
      </c>
      <c r="H21" s="175"/>
      <c r="I21" s="176"/>
      <c r="J21" s="183"/>
      <c r="K21" s="150">
        <f>AK29</f>
        <v>3</v>
      </c>
      <c r="L21" s="129" t="s">
        <v>6</v>
      </c>
      <c r="M21" s="147">
        <f>AM29</f>
        <v>2</v>
      </c>
      <c r="N21" s="150">
        <f>AM35</f>
        <v>2</v>
      </c>
      <c r="O21" s="129" t="s">
        <v>6</v>
      </c>
      <c r="P21" s="129">
        <f>AK35</f>
        <v>3</v>
      </c>
      <c r="Q21" s="150">
        <f>AK7</f>
        <v>0</v>
      </c>
      <c r="R21" s="129" t="s">
        <v>6</v>
      </c>
      <c r="S21" s="147">
        <f>AM7</f>
        <v>3</v>
      </c>
      <c r="T21" s="150">
        <f>AK20</f>
        <v>0</v>
      </c>
      <c r="U21" s="129" t="s">
        <v>6</v>
      </c>
      <c r="V21" s="156">
        <f>AM20</f>
        <v>3</v>
      </c>
      <c r="W21" s="129">
        <f>E21+K21+N21+Q21+T21</f>
        <v>5</v>
      </c>
      <c r="X21" s="129" t="s">
        <v>6</v>
      </c>
      <c r="Y21" s="147">
        <f>G21+M21+P21+S21+V21</f>
        <v>14</v>
      </c>
      <c r="Z21" s="131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6</v>
      </c>
      <c r="AA21" s="172">
        <v>5</v>
      </c>
      <c r="AB21" s="192"/>
      <c r="AC21" s="40" t="str">
        <f>D24</f>
        <v>Maradová Eliška</v>
      </c>
      <c r="AD21" s="7"/>
      <c r="AE21" s="54" t="str">
        <f>D20</f>
        <v>Pilitowská Ela</v>
      </c>
      <c r="AF21" s="22" t="s">
        <v>99</v>
      </c>
      <c r="AG21" s="19" t="s">
        <v>104</v>
      </c>
      <c r="AH21" s="19" t="s">
        <v>108</v>
      </c>
      <c r="AI21" s="19" t="s">
        <v>108</v>
      </c>
      <c r="AJ21" s="52"/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1</v>
      </c>
      <c r="AL21" s="13" t="s">
        <v>6</v>
      </c>
      <c r="AM21" s="27">
        <f t="shared" si="7"/>
        <v>3</v>
      </c>
      <c r="AN21" s="35"/>
      <c r="AO21" s="37"/>
      <c r="AP21" s="37">
        <f>IF(ISBLANK($AB$23),$A$23,0)</f>
        <v>20</v>
      </c>
      <c r="AQ21" s="37">
        <f>IF(ISBLANK($AB$19),$A$19,0)</f>
        <v>14</v>
      </c>
      <c r="AR21" s="2" t="str">
        <f t="shared" si="3"/>
        <v>20-14</v>
      </c>
      <c r="AS21">
        <f>$A$27</f>
        <v>15</v>
      </c>
      <c r="AT21" s="123"/>
      <c r="AU21">
        <f t="shared" si="8"/>
        <v>31</v>
      </c>
      <c r="AV21">
        <f t="shared" si="9"/>
        <v>40</v>
      </c>
      <c r="AW21" s="123"/>
      <c r="AX21" s="120" cm="1">
        <f t="array" aca="1" ref="AX21" ca="1">SUMIF($AP$3:$AP$36,INDIRECT(ADDRESS(ROW(),1)),$AU$3:$AU$36) + SUMIF($AQ$3:$AQ$36,INDIRECT(ADDRESS(ROW(),1)),$AV$3:$AV$36)</f>
        <v>157</v>
      </c>
      <c r="AY21" s="120" cm="1">
        <f t="array" aca="1" ref="AY21" ca="1">SUMIF($AP$3:$AP$36,INDIRECT(ADDRESS(ROW(),1)),$AV$3:$AV$36) + SUMIF($AQ$3:$AQ$36,INDIRECT(ADDRESS(ROW(),1)),$AU$3:$AU$36)</f>
        <v>193</v>
      </c>
      <c r="AZ21" s="120">
        <f ca="1">IFERROR(AX21/AY21,"")</f>
        <v>0.81347150259067358</v>
      </c>
      <c r="BA21" t="str">
        <f>IF(AND(ISBLANK($AB21),$A21&gt;0),IF(VLOOKUP($A21,seznam!$A$2:$C$197,2)&gt;0,VLOOKUP($A21,seznam!$A$2:$C$197,2),"------"),"------")</f>
        <v>Krupková Klaudie</v>
      </c>
    </row>
    <row r="22" spans="1:53" ht="13.5" thickBot="1">
      <c r="A22" s="173"/>
      <c r="B22"/>
      <c r="C22" s="134"/>
      <c r="D22" s="30" t="str">
        <f>IF(COUNTIF(seznam!$A$5:$A$22,A21)=1,VLOOKUP(A21,seznam!$A$2:$C$25,2,FALSE),"------")</f>
        <v>Krupková Klaudie</v>
      </c>
      <c r="E22" s="136"/>
      <c r="F22" s="130"/>
      <c r="G22" s="138"/>
      <c r="H22" s="184"/>
      <c r="I22" s="144"/>
      <c r="J22" s="145"/>
      <c r="K22" s="151"/>
      <c r="L22" s="130"/>
      <c r="M22" s="138"/>
      <c r="N22" s="151"/>
      <c r="O22" s="130"/>
      <c r="P22" s="148"/>
      <c r="Q22" s="151"/>
      <c r="R22" s="130"/>
      <c r="S22" s="138"/>
      <c r="T22" s="151"/>
      <c r="U22" s="130"/>
      <c r="V22" s="157"/>
      <c r="W22" s="148"/>
      <c r="X22" s="130"/>
      <c r="Y22" s="138"/>
      <c r="Z22" s="132"/>
      <c r="AA22" s="173"/>
      <c r="AB22" s="193"/>
      <c r="AC22" s="41" t="str">
        <f>D26</f>
        <v>Hasoňová Jana</v>
      </c>
      <c r="AD22" s="42"/>
      <c r="AE22" s="55" t="str">
        <f>D28</f>
        <v>Straková Adéla</v>
      </c>
      <c r="AF22" s="43" t="s">
        <v>107</v>
      </c>
      <c r="AG22" s="44" t="s">
        <v>101</v>
      </c>
      <c r="AH22" s="44" t="s">
        <v>104</v>
      </c>
      <c r="AI22" s="44" t="s">
        <v>105</v>
      </c>
      <c r="AJ22" s="57"/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1</v>
      </c>
      <c r="AL22" s="46" t="s">
        <v>6</v>
      </c>
      <c r="AM22" s="47">
        <f t="shared" si="7"/>
        <v>3</v>
      </c>
      <c r="AO22" s="37"/>
      <c r="AP22" s="3">
        <f>IF(ISBLANK($AB$25),$A$25,0)</f>
        <v>18</v>
      </c>
      <c r="AQ22" s="3">
        <f>IF(ISBLANK($AB$27),$A$27,0)</f>
        <v>15</v>
      </c>
      <c r="AR22" s="2" t="str">
        <f t="shared" si="3"/>
        <v>18-15</v>
      </c>
      <c r="AS22">
        <f>$A$21</f>
        <v>21</v>
      </c>
      <c r="AT22" s="123"/>
      <c r="AU22">
        <f t="shared" si="8"/>
        <v>34</v>
      </c>
      <c r="AV22">
        <f t="shared" si="9"/>
        <v>42</v>
      </c>
      <c r="AW22" s="123"/>
      <c r="AX22" s="120"/>
      <c r="AY22" s="120"/>
      <c r="AZ22" s="120"/>
    </row>
    <row r="23" spans="1:53" ht="13.5" thickBot="1">
      <c r="A23" s="172">
        <v>20</v>
      </c>
      <c r="B23" s="24"/>
      <c r="C23" s="139">
        <v>3</v>
      </c>
      <c r="D23" s="29" t="str">
        <f>IF(COUNTIF(seznam!$A$2:$A$25,A23)=1,VLOOKUP(A23,seznam!$A$2:$C$25,3,FALSE),"------")</f>
        <v>MS Brno</v>
      </c>
      <c r="E23" s="149">
        <f>AK21</f>
        <v>1</v>
      </c>
      <c r="F23" s="129" t="s">
        <v>6</v>
      </c>
      <c r="G23" s="147">
        <f>AM21</f>
        <v>3</v>
      </c>
      <c r="H23" s="150">
        <f>AM29</f>
        <v>2</v>
      </c>
      <c r="I23" s="129" t="s">
        <v>6</v>
      </c>
      <c r="J23" s="147">
        <f>AK29</f>
        <v>3</v>
      </c>
      <c r="K23" s="175"/>
      <c r="L23" s="176"/>
      <c r="M23" s="183"/>
      <c r="N23" s="150">
        <f>AK8</f>
        <v>1</v>
      </c>
      <c r="O23" s="129" t="s">
        <v>6</v>
      </c>
      <c r="P23" s="129">
        <f>AM8</f>
        <v>3</v>
      </c>
      <c r="Q23" s="150">
        <f>AM14</f>
        <v>0</v>
      </c>
      <c r="R23" s="129" t="s">
        <v>6</v>
      </c>
      <c r="S23" s="147">
        <f>AK14</f>
        <v>3</v>
      </c>
      <c r="T23" s="150">
        <f>AK34</f>
        <v>0</v>
      </c>
      <c r="U23" s="129" t="s">
        <v>6</v>
      </c>
      <c r="V23" s="156">
        <f>AM34</f>
        <v>3</v>
      </c>
      <c r="W23" s="129">
        <f>H23+E23+N23+Q23+T23</f>
        <v>4</v>
      </c>
      <c r="X23" s="129" t="s">
        <v>6</v>
      </c>
      <c r="Y23" s="147">
        <f>J23+G23+P23+S23+V23</f>
        <v>15</v>
      </c>
      <c r="Z23" s="131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5</v>
      </c>
      <c r="AA23" s="172">
        <v>6</v>
      </c>
      <c r="AB23" s="192"/>
      <c r="AC23" s="4" t="s">
        <v>13</v>
      </c>
      <c r="AN23" s="35"/>
      <c r="AO23" s="37"/>
      <c r="AP23" s="37"/>
      <c r="AQ23" s="37"/>
      <c r="AT23" s="123"/>
      <c r="AW23" s="123"/>
      <c r="AX23" s="120" cm="1">
        <f t="array" aca="1" ref="AX23" ca="1">SUMIF($AP$3:$AP$36,INDIRECT(ADDRESS(ROW(),1)),$AU$3:$AU$36) + SUMIF($AQ$3:$AQ$36,INDIRECT(ADDRESS(ROW(),1)),$AV$3:$AV$36)</f>
        <v>132</v>
      </c>
      <c r="AY23" s="120" cm="1">
        <f t="array" aca="1" ref="AY23" ca="1">SUMIF($AP$3:$AP$36,INDIRECT(ADDRESS(ROW(),1)),$AV$3:$AV$36) + SUMIF($AQ$3:$AQ$36,INDIRECT(ADDRESS(ROW(),1)),$AU$3:$AU$36)</f>
        <v>197</v>
      </c>
      <c r="AZ23" s="120">
        <f ca="1">IFERROR(AX23/AY23,"")</f>
        <v>0.67005076142131981</v>
      </c>
      <c r="BA23" t="str">
        <f>IF(AND(ISBLANK($AB23),$A23&gt;0),IF(VLOOKUP($A23,seznam!$A$2:$C$197,2)&gt;0,VLOOKUP($A23,seznam!$A$2:$C$197,2),"------"),"------")</f>
        <v>Maradová Eliška</v>
      </c>
    </row>
    <row r="24" spans="1:53">
      <c r="A24" s="173"/>
      <c r="B24"/>
      <c r="C24" s="134"/>
      <c r="D24" s="30" t="str">
        <f>IF(COUNTIF(seznam!$A$2:$A$25,A23)=1,VLOOKUP(A23,seznam!$A$2:$C$25,2,FALSE),"------")</f>
        <v>Maradová Eliška</v>
      </c>
      <c r="E24" s="136"/>
      <c r="F24" s="130"/>
      <c r="G24" s="138"/>
      <c r="H24" s="151"/>
      <c r="I24" s="130"/>
      <c r="J24" s="138"/>
      <c r="K24" s="184"/>
      <c r="L24" s="144"/>
      <c r="M24" s="145"/>
      <c r="N24" s="151"/>
      <c r="O24" s="130"/>
      <c r="P24" s="148"/>
      <c r="Q24" s="151"/>
      <c r="R24" s="130"/>
      <c r="S24" s="138"/>
      <c r="T24" s="151"/>
      <c r="U24" s="130"/>
      <c r="V24" s="157"/>
      <c r="W24" s="148"/>
      <c r="X24" s="148"/>
      <c r="Y24" s="138"/>
      <c r="Z24" s="132"/>
      <c r="AA24" s="173"/>
      <c r="AB24" s="193"/>
      <c r="AC24" s="39" t="str">
        <f>D15</f>
        <v>Zouharová Beáta</v>
      </c>
      <c r="AD24" s="51" t="s">
        <v>8</v>
      </c>
      <c r="AE24" s="53" t="str">
        <f>D13</f>
        <v>Klašková Alžběta</v>
      </c>
      <c r="AF24" s="20" t="s">
        <v>106</v>
      </c>
      <c r="AG24" s="21" t="s">
        <v>104</v>
      </c>
      <c r="AH24" s="21" t="s">
        <v>106</v>
      </c>
      <c r="AI24" s="21"/>
      <c r="AJ24" s="56"/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 t="shared" ref="AM24:AM29" si="10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IF(ISBLANK($AB$14),$A$14,0)</f>
        <v>24</v>
      </c>
      <c r="AQ24" s="37">
        <f>IF(ISBLANK($AB$12),$A$12,0)</f>
        <v>16</v>
      </c>
      <c r="AR24" s="2" t="str">
        <f t="shared" si="3"/>
        <v>24-16</v>
      </c>
      <c r="AS24">
        <f>$A$8</f>
        <v>19</v>
      </c>
      <c r="AT24" s="123"/>
      <c r="AU24">
        <f t="shared" ref="AU24:AU29" si="11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10</v>
      </c>
      <c r="AV24">
        <f t="shared" ref="AV24:AV29" si="12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33</v>
      </c>
      <c r="AW24" s="123"/>
      <c r="AX24" s="120"/>
      <c r="AY24" s="120"/>
      <c r="AZ24" s="120"/>
    </row>
    <row r="25" spans="1:53">
      <c r="A25" s="172">
        <v>18</v>
      </c>
      <c r="B25" s="24"/>
      <c r="C25" s="139">
        <v>4</v>
      </c>
      <c r="D25" s="29" t="str">
        <f>IF(COUNTIF(seznam!$A$2:$A$25,A25)=1,VLOOKUP(A25,seznam!$A$2:$C$25,3,FALSE),"------")</f>
        <v>SKST Hodonín</v>
      </c>
      <c r="E25" s="149">
        <f>AM28</f>
        <v>0</v>
      </c>
      <c r="F25" s="129" t="s">
        <v>6</v>
      </c>
      <c r="G25" s="147">
        <f>AK28</f>
        <v>3</v>
      </c>
      <c r="H25" s="150">
        <f>AK35</f>
        <v>3</v>
      </c>
      <c r="I25" s="129" t="s">
        <v>6</v>
      </c>
      <c r="J25" s="147">
        <f>AM35</f>
        <v>2</v>
      </c>
      <c r="K25" s="150">
        <f>AM8</f>
        <v>3</v>
      </c>
      <c r="L25" s="129" t="s">
        <v>6</v>
      </c>
      <c r="M25" s="147">
        <f>AK8</f>
        <v>1</v>
      </c>
      <c r="N25" s="175"/>
      <c r="O25" s="176"/>
      <c r="P25" s="176"/>
      <c r="Q25" s="150">
        <f>AK22</f>
        <v>1</v>
      </c>
      <c r="R25" s="129" t="s">
        <v>6</v>
      </c>
      <c r="S25" s="147">
        <f>AM22</f>
        <v>3</v>
      </c>
      <c r="T25" s="150">
        <f>AM13</f>
        <v>1</v>
      </c>
      <c r="U25" s="129" t="s">
        <v>6</v>
      </c>
      <c r="V25" s="156">
        <f>AK13</f>
        <v>3</v>
      </c>
      <c r="W25" s="129">
        <f>H25+K25+E25+Q25+T25</f>
        <v>8</v>
      </c>
      <c r="X25" s="129" t="s">
        <v>6</v>
      </c>
      <c r="Y25" s="147">
        <f>J25+M25+G25+S25+V25</f>
        <v>12</v>
      </c>
      <c r="Z25" s="131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7</v>
      </c>
      <c r="AA25" s="172">
        <v>4</v>
      </c>
      <c r="AB25" s="192"/>
      <c r="AC25" s="40" t="str">
        <f>D5</f>
        <v>Solfronková Ema</v>
      </c>
      <c r="AD25" s="7" t="s">
        <v>8</v>
      </c>
      <c r="AE25" s="54" t="str">
        <f>D11</f>
        <v>Křepelová Kamila</v>
      </c>
      <c r="AF25" s="22" t="s">
        <v>100</v>
      </c>
      <c r="AG25" s="19" t="s">
        <v>98</v>
      </c>
      <c r="AH25" s="19" t="s">
        <v>99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10"/>
        <v>0</v>
      </c>
      <c r="AN25" s="35"/>
      <c r="AO25" s="37"/>
      <c r="AP25" s="37">
        <f>IF(ISBLANK($AB$4),$A$4,0)</f>
        <v>13</v>
      </c>
      <c r="AQ25" s="37">
        <f>IF(ISBLANK($AB$10),$A$10,0)</f>
        <v>17</v>
      </c>
      <c r="AR25" s="2" t="str">
        <f t="shared" si="3"/>
        <v>13-17</v>
      </c>
      <c r="AS25">
        <f>$A$14</f>
        <v>24</v>
      </c>
      <c r="AT25" s="123"/>
      <c r="AU25">
        <f t="shared" si="11"/>
        <v>33</v>
      </c>
      <c r="AV25">
        <f t="shared" si="12"/>
        <v>15</v>
      </c>
      <c r="AW25" s="123"/>
      <c r="AX25" s="120" cm="1">
        <f t="array" aca="1" ref="AX25" ca="1">SUMIF($AP$3:$AP$36,INDIRECT(ADDRESS(ROW(),1)),$AU$3:$AU$36) + SUMIF($AQ$3:$AQ$36,INDIRECT(ADDRESS(ROW(),1)),$AV$3:$AV$36)</f>
        <v>163</v>
      </c>
      <c r="AY25" s="120" cm="1">
        <f t="array" aca="1" ref="AY25" ca="1">SUMIF($AP$3:$AP$36,INDIRECT(ADDRESS(ROW(),1)),$AV$3:$AV$36) + SUMIF($AQ$3:$AQ$36,INDIRECT(ADDRESS(ROW(),1)),$AU$3:$AU$36)</f>
        <v>186</v>
      </c>
      <c r="AZ25" s="120">
        <f ca="1">IFERROR(AX25/AY25,"")</f>
        <v>0.87634408602150538</v>
      </c>
      <c r="BA25" t="str">
        <f>IF(AND(ISBLANK($AB25),$A25&gt;0),IF(VLOOKUP($A25,seznam!$A$2:$C$197,2)&gt;0,VLOOKUP($A25,seznam!$A$2:$C$197,2),"------"),"------")</f>
        <v>Hasoňová Jana</v>
      </c>
    </row>
    <row r="26" spans="1:53">
      <c r="A26" s="173"/>
      <c r="B26"/>
      <c r="C26" s="134"/>
      <c r="D26" s="30" t="str">
        <f>IF(COUNTIF(seznam!$A$2:$A$25,A25)=1,VLOOKUP(A25,seznam!$A$2:$C$25,2,FALSE),"------")</f>
        <v>Hasoňová Jana</v>
      </c>
      <c r="E26" s="136"/>
      <c r="F26" s="130"/>
      <c r="G26" s="138"/>
      <c r="H26" s="151"/>
      <c r="I26" s="130"/>
      <c r="J26" s="138"/>
      <c r="K26" s="151"/>
      <c r="L26" s="130"/>
      <c r="M26" s="138"/>
      <c r="N26" s="184"/>
      <c r="O26" s="144"/>
      <c r="P26" s="144"/>
      <c r="Q26" s="151"/>
      <c r="R26" s="130"/>
      <c r="S26" s="138"/>
      <c r="T26" s="151"/>
      <c r="U26" s="130"/>
      <c r="V26" s="157"/>
      <c r="W26" s="148"/>
      <c r="X26" s="148"/>
      <c r="Y26" s="138"/>
      <c r="Z26" s="132"/>
      <c r="AA26" s="173"/>
      <c r="AB26" s="193"/>
      <c r="AC26" s="40" t="str">
        <f>D7</f>
        <v>Svobodová Kristýna</v>
      </c>
      <c r="AD26" s="7" t="s">
        <v>8</v>
      </c>
      <c r="AE26" s="54" t="str">
        <f>D9</f>
        <v>Žilková Elen</v>
      </c>
      <c r="AF26" s="22" t="s">
        <v>99</v>
      </c>
      <c r="AG26" s="19" t="s">
        <v>109</v>
      </c>
      <c r="AH26" s="19" t="s">
        <v>99</v>
      </c>
      <c r="AI26" s="19" t="s">
        <v>115</v>
      </c>
      <c r="AJ26" s="52" t="s">
        <v>104</v>
      </c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2</v>
      </c>
      <c r="AL26" s="13" t="s">
        <v>6</v>
      </c>
      <c r="AM26" s="27">
        <f t="shared" si="10"/>
        <v>3</v>
      </c>
      <c r="AN26" s="35"/>
      <c r="AO26" s="37"/>
      <c r="AP26" s="37">
        <f>IF(ISBLANK($AB$6),$A$6,0)</f>
        <v>22</v>
      </c>
      <c r="AQ26" s="37">
        <f>IF(ISBLANK($AB$8),$A$8,0)</f>
        <v>19</v>
      </c>
      <c r="AR26" s="2" t="str">
        <f t="shared" si="3"/>
        <v>22-19</v>
      </c>
      <c r="AS26">
        <f>$A$4</f>
        <v>13</v>
      </c>
      <c r="AT26" s="123"/>
      <c r="AU26">
        <f t="shared" si="11"/>
        <v>42</v>
      </c>
      <c r="AV26">
        <f t="shared" si="12"/>
        <v>49</v>
      </c>
      <c r="AW26" s="123"/>
      <c r="AX26" s="120"/>
      <c r="AY26" s="120"/>
      <c r="AZ26" s="120"/>
    </row>
    <row r="27" spans="1:53">
      <c r="A27" s="172">
        <v>15</v>
      </c>
      <c r="B27" s="24"/>
      <c r="C27" s="139">
        <v>5</v>
      </c>
      <c r="D27" s="29" t="str">
        <f>IF(COUNTIF(seznam!$A$2:$A$25,A27)=1,VLOOKUP(A27,seznam!$A$2:$C$25,3,FALSE),"------")</f>
        <v>Vlast Ježov</v>
      </c>
      <c r="E27" s="149">
        <f>AK36</f>
        <v>3</v>
      </c>
      <c r="F27" s="129" t="s">
        <v>6</v>
      </c>
      <c r="G27" s="147">
        <f>AM36</f>
        <v>2</v>
      </c>
      <c r="H27" s="150">
        <f>AM7</f>
        <v>3</v>
      </c>
      <c r="I27" s="129" t="s">
        <v>6</v>
      </c>
      <c r="J27" s="147">
        <f>AK7</f>
        <v>0</v>
      </c>
      <c r="K27" s="150">
        <f>AK14</f>
        <v>3</v>
      </c>
      <c r="L27" s="129" t="s">
        <v>6</v>
      </c>
      <c r="M27" s="147">
        <f>AM14</f>
        <v>0</v>
      </c>
      <c r="N27" s="150">
        <f>AM22</f>
        <v>3</v>
      </c>
      <c r="O27" s="129" t="s">
        <v>6</v>
      </c>
      <c r="P27" s="129">
        <f>AK22</f>
        <v>1</v>
      </c>
      <c r="Q27" s="175"/>
      <c r="R27" s="176"/>
      <c r="S27" s="183"/>
      <c r="T27" s="150">
        <f>AM27</f>
        <v>3</v>
      </c>
      <c r="U27" s="129" t="s">
        <v>6</v>
      </c>
      <c r="V27" s="156">
        <f>AK27</f>
        <v>2</v>
      </c>
      <c r="W27" s="129">
        <f>H27+K27+N27+E27+T27</f>
        <v>15</v>
      </c>
      <c r="X27" s="129" t="s">
        <v>6</v>
      </c>
      <c r="Y27" s="147">
        <f>J27+M27+P27+G27+V27</f>
        <v>5</v>
      </c>
      <c r="Z27" s="131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10</v>
      </c>
      <c r="AA27" s="172">
        <v>1</v>
      </c>
      <c r="AB27" s="192"/>
      <c r="AC27" s="40" t="str">
        <f>D30</f>
        <v>Jonášová Kristýna</v>
      </c>
      <c r="AD27" s="7"/>
      <c r="AE27" s="54" t="str">
        <f>D28</f>
        <v>Straková Adéla</v>
      </c>
      <c r="AF27" s="22" t="s">
        <v>112</v>
      </c>
      <c r="AG27" s="19" t="s">
        <v>108</v>
      </c>
      <c r="AH27" s="19" t="s">
        <v>103</v>
      </c>
      <c r="AI27" s="19" t="s">
        <v>113</v>
      </c>
      <c r="AJ27" s="52" t="s">
        <v>107</v>
      </c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2</v>
      </c>
      <c r="AL27" s="13" t="s">
        <v>6</v>
      </c>
      <c r="AM27" s="27">
        <f t="shared" si="10"/>
        <v>3</v>
      </c>
      <c r="AO27" s="37"/>
      <c r="AP27" s="3">
        <f>IF(ISBLANK($AB$29),$A$29,0)</f>
        <v>23</v>
      </c>
      <c r="AQ27" s="3">
        <f>IF(ISBLANK($AB$27),$A$27,0)</f>
        <v>15</v>
      </c>
      <c r="AR27" s="2" t="str">
        <f t="shared" si="3"/>
        <v>23-15</v>
      </c>
      <c r="AS27">
        <f>$A$23</f>
        <v>20</v>
      </c>
      <c r="AT27" s="123"/>
      <c r="AU27">
        <f t="shared" si="11"/>
        <v>46</v>
      </c>
      <c r="AV27">
        <f t="shared" si="12"/>
        <v>47</v>
      </c>
      <c r="AW27" s="123"/>
      <c r="AX27" s="120" cm="1">
        <f t="array" aca="1" ref="AX27" ca="1">SUMIF($AP$3:$AP$36,INDIRECT(ADDRESS(ROW(),1)),$AU$3:$AU$36) + SUMIF($AQ$3:$AQ$36,INDIRECT(ADDRESS(ROW(),1)),$AV$3:$AV$36)</f>
        <v>200</v>
      </c>
      <c r="AY27" s="120" cm="1">
        <f t="array" aca="1" ref="AY27" ca="1">SUMIF($AP$3:$AP$36,INDIRECT(ADDRESS(ROW(),1)),$AV$3:$AV$36) + SUMIF($AQ$3:$AQ$36,INDIRECT(ADDRESS(ROW(),1)),$AU$3:$AU$36)</f>
        <v>156</v>
      </c>
      <c r="AZ27" s="120">
        <f ca="1">IFERROR(AX27/AY27,"")</f>
        <v>1.2820512820512822</v>
      </c>
      <c r="BA27" t="str">
        <f>IF(AND(ISBLANK($AB27),$A27&gt;0),IF(VLOOKUP($A27,seznam!$A$2:$C$197,2)&gt;0,VLOOKUP($A27,seznam!$A$2:$C$197,2),"------"),"------")</f>
        <v>Straková Adéla</v>
      </c>
    </row>
    <row r="28" spans="1:53">
      <c r="A28" s="173"/>
      <c r="B28"/>
      <c r="C28" s="134"/>
      <c r="D28" s="30" t="str">
        <f>IF(COUNTIF(seznam!$A$2:$A$25,A27)=1,VLOOKUP(A27,seznam!$A$2:$C$25,2,FALSE),"------")</f>
        <v>Straková Adéla</v>
      </c>
      <c r="E28" s="136"/>
      <c r="F28" s="130"/>
      <c r="G28" s="138"/>
      <c r="H28" s="151"/>
      <c r="I28" s="130"/>
      <c r="J28" s="138"/>
      <c r="K28" s="151"/>
      <c r="L28" s="130"/>
      <c r="M28" s="138"/>
      <c r="N28" s="151"/>
      <c r="O28" s="130"/>
      <c r="P28" s="148"/>
      <c r="Q28" s="184"/>
      <c r="R28" s="144"/>
      <c r="S28" s="145"/>
      <c r="T28" s="151"/>
      <c r="U28" s="130"/>
      <c r="V28" s="182"/>
      <c r="W28" s="148"/>
      <c r="X28" s="148"/>
      <c r="Y28" s="138"/>
      <c r="Z28" s="132"/>
      <c r="AA28" s="173"/>
      <c r="AB28" s="193"/>
      <c r="AC28" s="40" t="str">
        <f>D20</f>
        <v>Pilitowská Ela</v>
      </c>
      <c r="AD28" s="7"/>
      <c r="AE28" s="54" t="str">
        <f>D26</f>
        <v>Hasoňová Jana</v>
      </c>
      <c r="AF28" s="22" t="s">
        <v>98</v>
      </c>
      <c r="AG28" s="19" t="s">
        <v>118</v>
      </c>
      <c r="AH28" s="19" t="s">
        <v>99</v>
      </c>
      <c r="AI28" s="19"/>
      <c r="AJ28" s="52"/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3</v>
      </c>
      <c r="AL28" s="13" t="s">
        <v>6</v>
      </c>
      <c r="AM28" s="27">
        <f t="shared" si="10"/>
        <v>0</v>
      </c>
      <c r="AO28" s="37"/>
      <c r="AP28" s="3">
        <f>IF(ISBLANK($AB$19),$A$19,0)</f>
        <v>14</v>
      </c>
      <c r="AQ28" s="3">
        <f>IF(ISBLANK($AB$25),$A$25,0)</f>
        <v>18</v>
      </c>
      <c r="AR28" s="2" t="str">
        <f t="shared" si="3"/>
        <v>14-18</v>
      </c>
      <c r="AS28">
        <f>$A$29</f>
        <v>23</v>
      </c>
      <c r="AT28" s="123"/>
      <c r="AU28">
        <f t="shared" si="11"/>
        <v>33</v>
      </c>
      <c r="AV28">
        <f t="shared" si="12"/>
        <v>13</v>
      </c>
      <c r="AW28" s="123"/>
      <c r="AX28" s="120"/>
      <c r="AY28" s="120"/>
      <c r="AZ28" s="120"/>
    </row>
    <row r="29" spans="1:53" ht="13.5" thickBot="1">
      <c r="A29" s="172">
        <v>23</v>
      </c>
      <c r="B29" s="24"/>
      <c r="C29" s="139">
        <v>6</v>
      </c>
      <c r="D29" s="29" t="str">
        <f>IF(COUNTIF(seznam!$A$2:$A$25,A29)=1,VLOOKUP(A29,seznam!$A$2:$C$25,3,FALSE),"------")</f>
        <v>STK Zbraslavec</v>
      </c>
      <c r="E29" s="149">
        <f>AM6</f>
        <v>2</v>
      </c>
      <c r="F29" s="129" t="s">
        <v>6</v>
      </c>
      <c r="G29" s="147">
        <f>AK6</f>
        <v>3</v>
      </c>
      <c r="H29" s="150">
        <f>AM20</f>
        <v>3</v>
      </c>
      <c r="I29" s="129" t="s">
        <v>6</v>
      </c>
      <c r="J29" s="147">
        <f>AK20</f>
        <v>0</v>
      </c>
      <c r="K29" s="150">
        <f>AM34</f>
        <v>3</v>
      </c>
      <c r="L29" s="129" t="s">
        <v>6</v>
      </c>
      <c r="M29" s="147">
        <f>AK34</f>
        <v>0</v>
      </c>
      <c r="N29" s="150">
        <f>AK13</f>
        <v>3</v>
      </c>
      <c r="O29" s="129" t="s">
        <v>6</v>
      </c>
      <c r="P29" s="129">
        <f>AM13</f>
        <v>1</v>
      </c>
      <c r="Q29" s="150">
        <f>AK27</f>
        <v>2</v>
      </c>
      <c r="R29" s="129" t="s">
        <v>6</v>
      </c>
      <c r="S29" s="147">
        <f>AM27</f>
        <v>3</v>
      </c>
      <c r="T29" s="175"/>
      <c r="U29" s="176"/>
      <c r="V29" s="177"/>
      <c r="W29" s="129">
        <f>H29+K29+N29+Q29+E29</f>
        <v>13</v>
      </c>
      <c r="X29" s="129" t="s">
        <v>6</v>
      </c>
      <c r="Y29" s="147">
        <f>J29+M29+P29+S29+G29</f>
        <v>7</v>
      </c>
      <c r="Z29" s="13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8</v>
      </c>
      <c r="AA29" s="172">
        <v>3</v>
      </c>
      <c r="AB29" s="192"/>
      <c r="AC29" s="41" t="str">
        <f>D22</f>
        <v>Krupková Klaudie</v>
      </c>
      <c r="AD29" s="42"/>
      <c r="AE29" s="55" t="str">
        <f>D24</f>
        <v>Maradová Eliška</v>
      </c>
      <c r="AF29" s="43" t="s">
        <v>107</v>
      </c>
      <c r="AG29" s="44" t="s">
        <v>103</v>
      </c>
      <c r="AH29" s="44" t="s">
        <v>119</v>
      </c>
      <c r="AI29" s="44" t="s">
        <v>102</v>
      </c>
      <c r="AJ29" s="57" t="s">
        <v>112</v>
      </c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3</v>
      </c>
      <c r="AL29" s="46" t="s">
        <v>6</v>
      </c>
      <c r="AM29" s="47">
        <f t="shared" si="10"/>
        <v>2</v>
      </c>
      <c r="AO29" s="37"/>
      <c r="AP29" s="3">
        <f>IF(ISBLANK($AB$21),$A$21,0)</f>
        <v>21</v>
      </c>
      <c r="AQ29" s="3">
        <f>IF(ISBLANK($AB$23),$A$23,0)</f>
        <v>20</v>
      </c>
      <c r="AR29" s="2" t="str">
        <f t="shared" si="3"/>
        <v>21-20</v>
      </c>
      <c r="AS29">
        <f>$A$19</f>
        <v>14</v>
      </c>
      <c r="AT29" s="123"/>
      <c r="AU29">
        <f t="shared" si="11"/>
        <v>50</v>
      </c>
      <c r="AV29">
        <f t="shared" si="12"/>
        <v>42</v>
      </c>
      <c r="AW29" s="123"/>
      <c r="AX29" s="120" cm="1">
        <f t="array" aca="1" ref="AX29" ca="1">SUMIF($AP$3:$AP$36,INDIRECT(ADDRESS(ROW(),1)),$AU$3:$AU$36) + SUMIF($AQ$3:$AQ$36,INDIRECT(ADDRESS(ROW(),1)),$AV$3:$AV$36)</f>
        <v>198</v>
      </c>
      <c r="AY29" s="120" cm="1">
        <f t="array" aca="1" ref="AY29" ca="1">SUMIF($AP$3:$AP$36,INDIRECT(ADDRESS(ROW(),1)),$AV$3:$AV$36) + SUMIF($AQ$3:$AQ$36,INDIRECT(ADDRESS(ROW(),1)),$AU$3:$AU$36)</f>
        <v>160</v>
      </c>
      <c r="AZ29" s="120">
        <f ca="1">IFERROR(AX29/AY29,"")</f>
        <v>1.2375</v>
      </c>
      <c r="BA29" t="str">
        <f>IF(AND(ISBLANK($AB29),$A29&gt;0),IF(VLOOKUP($A29,seznam!$A$2:$C$197,2)&gt;0,VLOOKUP($A29,seznam!$A$2:$C$197,2),"------"),"------")</f>
        <v>Jonášová Kristýna</v>
      </c>
    </row>
    <row r="30" spans="1:53" ht="13.5" thickBot="1">
      <c r="A30" s="173"/>
      <c r="B30"/>
      <c r="C30" s="174"/>
      <c r="D30" s="18" t="str">
        <f>IF(COUNTIF(seznam!$A$2:$A$25,A29)=1,VLOOKUP(A29,seznam!$A$2:$C$25,2,FALSE),"------")</f>
        <v>Jonášová Kristýna</v>
      </c>
      <c r="E30" s="161"/>
      <c r="F30" s="155"/>
      <c r="G30" s="163"/>
      <c r="H30" s="158"/>
      <c r="I30" s="155"/>
      <c r="J30" s="163"/>
      <c r="K30" s="158"/>
      <c r="L30" s="155"/>
      <c r="M30" s="163"/>
      <c r="N30" s="158"/>
      <c r="O30" s="155"/>
      <c r="P30" s="181"/>
      <c r="Q30" s="158"/>
      <c r="R30" s="155"/>
      <c r="S30" s="163"/>
      <c r="T30" s="178"/>
      <c r="U30" s="179"/>
      <c r="V30" s="180"/>
      <c r="W30" s="181"/>
      <c r="X30" s="155"/>
      <c r="Y30" s="163"/>
      <c r="Z30" s="162"/>
      <c r="AA30" s="173"/>
      <c r="AB30" s="193"/>
      <c r="AC30" s="4" t="s">
        <v>14</v>
      </c>
      <c r="AT30" s="123"/>
      <c r="AW30" s="123"/>
    </row>
    <row r="31" spans="1:53">
      <c r="AC31" s="39" t="str">
        <f>D9</f>
        <v>Žilková Elen</v>
      </c>
      <c r="AD31" s="51" t="s">
        <v>8</v>
      </c>
      <c r="AE31" s="53" t="str">
        <f>D15</f>
        <v>Zouharová Beáta</v>
      </c>
      <c r="AF31" s="20" t="s">
        <v>111</v>
      </c>
      <c r="AG31" s="21" t="s">
        <v>100</v>
      </c>
      <c r="AH31" s="21" t="s">
        <v>112</v>
      </c>
      <c r="AI31" s="21"/>
      <c r="AJ31" s="56"/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 t="shared" ref="AM31:AM36" si="13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O31" s="37"/>
      <c r="AP31" s="3">
        <f>IF(ISBLANK($AB$8),$A$8,0)</f>
        <v>19</v>
      </c>
      <c r="AQ31" s="37">
        <f>IF(ISBLANK($AB$14),$A$14,0)</f>
        <v>24</v>
      </c>
      <c r="AR31" s="2" t="str">
        <f t="shared" si="3"/>
        <v>19-24</v>
      </c>
      <c r="AS31">
        <f>$A$12</f>
        <v>16</v>
      </c>
      <c r="AT31" s="123"/>
      <c r="AU31">
        <f t="shared" ref="AU31:AU36" si="14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33</v>
      </c>
      <c r="AV31">
        <f t="shared" ref="AV31:AV36" si="15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14</v>
      </c>
      <c r="AW31" s="123"/>
    </row>
    <row r="32" spans="1:53">
      <c r="AC32" s="40" t="str">
        <f>D11</f>
        <v>Křepelová Kamila</v>
      </c>
      <c r="AD32" s="7" t="s">
        <v>8</v>
      </c>
      <c r="AE32" s="54" t="str">
        <f>D7</f>
        <v>Svobodová Kristýna</v>
      </c>
      <c r="AF32" s="22" t="s">
        <v>113</v>
      </c>
      <c r="AG32" s="19" t="s">
        <v>101</v>
      </c>
      <c r="AH32" s="19" t="s">
        <v>114</v>
      </c>
      <c r="AI32" s="19" t="s">
        <v>102</v>
      </c>
      <c r="AJ32" s="52"/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3</v>
      </c>
      <c r="AL32" s="13" t="s">
        <v>6</v>
      </c>
      <c r="AM32" s="27">
        <f t="shared" si="13"/>
        <v>1</v>
      </c>
      <c r="AO32" s="37"/>
      <c r="AP32" s="3">
        <f>IF(ISBLANK($AB$10),$A$10,0)</f>
        <v>17</v>
      </c>
      <c r="AQ32" s="3">
        <f>IF(ISBLANK($AB$6),$A$6,0)</f>
        <v>22</v>
      </c>
      <c r="AR32" s="2" t="str">
        <f t="shared" si="3"/>
        <v>17-22</v>
      </c>
      <c r="AS32">
        <f>$A$4</f>
        <v>13</v>
      </c>
      <c r="AT32" s="123"/>
      <c r="AU32">
        <f t="shared" si="14"/>
        <v>44</v>
      </c>
      <c r="AV32">
        <f t="shared" si="15"/>
        <v>39</v>
      </c>
      <c r="AW32" s="123"/>
    </row>
    <row r="33" spans="29:49">
      <c r="AC33" s="40" t="str">
        <f>D13</f>
        <v>Klašková Alžběta</v>
      </c>
      <c r="AD33" s="7" t="s">
        <v>8</v>
      </c>
      <c r="AE33" s="54" t="str">
        <f>D5</f>
        <v>Solfronková Ema</v>
      </c>
      <c r="AF33" s="22" t="s">
        <v>109</v>
      </c>
      <c r="AG33" s="19" t="s">
        <v>105</v>
      </c>
      <c r="AH33" s="19" t="s">
        <v>108</v>
      </c>
      <c r="AI33" s="19"/>
      <c r="AJ33" s="52"/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0</v>
      </c>
      <c r="AL33" s="13" t="s">
        <v>6</v>
      </c>
      <c r="AM33" s="27">
        <f t="shared" si="13"/>
        <v>3</v>
      </c>
      <c r="AO33" s="37"/>
      <c r="AP33" s="3">
        <f>IF(ISBLANK($AB$12),$A$12,0)</f>
        <v>16</v>
      </c>
      <c r="AQ33" s="3">
        <f>IF(ISBLANK($AB$4),$A$4,0)</f>
        <v>13</v>
      </c>
      <c r="AR33" s="2" t="str">
        <f t="shared" si="3"/>
        <v>16-13</v>
      </c>
      <c r="AS33">
        <f>$A$8</f>
        <v>19</v>
      </c>
      <c r="AT33" s="123"/>
      <c r="AU33">
        <f t="shared" si="14"/>
        <v>22</v>
      </c>
      <c r="AV33">
        <f t="shared" si="15"/>
        <v>33</v>
      </c>
      <c r="AW33" s="123"/>
    </row>
    <row r="34" spans="29:49">
      <c r="AC34" s="40" t="str">
        <f>D24</f>
        <v>Maradová Eliška</v>
      </c>
      <c r="AD34" s="7"/>
      <c r="AE34" s="54" t="str">
        <f>D30</f>
        <v>Jonášová Kristýna</v>
      </c>
      <c r="AF34" s="22" t="s">
        <v>109</v>
      </c>
      <c r="AG34" s="19" t="s">
        <v>109</v>
      </c>
      <c r="AH34" s="19" t="s">
        <v>104</v>
      </c>
      <c r="AI34" s="19"/>
      <c r="AJ34" s="52"/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0</v>
      </c>
      <c r="AL34" s="13" t="s">
        <v>6</v>
      </c>
      <c r="AM34" s="27">
        <f t="shared" si="13"/>
        <v>3</v>
      </c>
      <c r="AO34" s="37"/>
      <c r="AP34" s="3">
        <f>IF(ISBLANK($AB$23),$A$23,0)</f>
        <v>20</v>
      </c>
      <c r="AQ34" s="3">
        <f>IF(ISBLANK($AB$29),$A$29,0)</f>
        <v>23</v>
      </c>
      <c r="AR34" s="2" t="str">
        <f t="shared" si="3"/>
        <v>20-23</v>
      </c>
      <c r="AS34">
        <f>$A$27</f>
        <v>15</v>
      </c>
      <c r="AT34" s="123"/>
      <c r="AU34">
        <f t="shared" si="14"/>
        <v>14</v>
      </c>
      <c r="AV34">
        <f t="shared" si="15"/>
        <v>33</v>
      </c>
      <c r="AW34" s="123"/>
    </row>
    <row r="35" spans="29:49">
      <c r="AC35" s="40" t="str">
        <f>D26</f>
        <v>Hasoňová Jana</v>
      </c>
      <c r="AD35" s="7"/>
      <c r="AE35" s="54" t="str">
        <f>D22</f>
        <v>Krupková Klaudie</v>
      </c>
      <c r="AF35" s="22" t="s">
        <v>102</v>
      </c>
      <c r="AG35" s="19" t="s">
        <v>98</v>
      </c>
      <c r="AH35" s="19" t="s">
        <v>108</v>
      </c>
      <c r="AI35" s="19" t="s">
        <v>108</v>
      </c>
      <c r="AJ35" s="52" t="s">
        <v>101</v>
      </c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3</v>
      </c>
      <c r="AL35" s="13" t="s">
        <v>6</v>
      </c>
      <c r="AM35" s="27">
        <f t="shared" si="13"/>
        <v>2</v>
      </c>
      <c r="AO35" s="37"/>
      <c r="AP35" s="3">
        <f>IF(ISBLANK($AB$25),$A$25,0)</f>
        <v>18</v>
      </c>
      <c r="AQ35" s="3">
        <f>IF(ISBLANK($AB$21),$A$21,0)</f>
        <v>21</v>
      </c>
      <c r="AR35" s="2" t="str">
        <f t="shared" si="3"/>
        <v>18-21</v>
      </c>
      <c r="AS35">
        <f>$A$19</f>
        <v>14</v>
      </c>
      <c r="AT35" s="123"/>
      <c r="AU35">
        <f t="shared" si="14"/>
        <v>49</v>
      </c>
      <c r="AV35">
        <f t="shared" si="15"/>
        <v>41</v>
      </c>
      <c r="AW35" s="123"/>
    </row>
    <row r="36" spans="29:49" ht="13.5" thickBot="1">
      <c r="AC36" s="41" t="str">
        <f>D28</f>
        <v>Straková Adéla</v>
      </c>
      <c r="AD36" s="42"/>
      <c r="AE36" s="55" t="str">
        <f>D20</f>
        <v>Pilitowská Ela</v>
      </c>
      <c r="AF36" s="43" t="s">
        <v>113</v>
      </c>
      <c r="AG36" s="44" t="s">
        <v>109</v>
      </c>
      <c r="AH36" s="44" t="s">
        <v>98</v>
      </c>
      <c r="AI36" s="44" t="s">
        <v>110</v>
      </c>
      <c r="AJ36" s="57" t="s">
        <v>98</v>
      </c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3</v>
      </c>
      <c r="AL36" s="46" t="s">
        <v>6</v>
      </c>
      <c r="AM36" s="47">
        <f t="shared" si="13"/>
        <v>2</v>
      </c>
      <c r="AO36" s="37"/>
      <c r="AP36" s="3">
        <f>IF(ISBLANK($AB$27),$A$27,0)</f>
        <v>15</v>
      </c>
      <c r="AQ36" s="3">
        <f>IF(ISBLANK($AB$19),$A$19,0)</f>
        <v>14</v>
      </c>
      <c r="AR36" s="2" t="str">
        <f t="shared" si="3"/>
        <v>15-14</v>
      </c>
      <c r="AS36">
        <f>$A$23</f>
        <v>20</v>
      </c>
      <c r="AT36" s="123"/>
      <c r="AU36">
        <f t="shared" si="14"/>
        <v>45</v>
      </c>
      <c r="AV36">
        <f t="shared" si="15"/>
        <v>42</v>
      </c>
      <c r="AW36" s="123"/>
    </row>
    <row r="50" spans="1:27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BA50"/>
  <sheetViews>
    <sheetView view="pageBreakPreview" topLeftCell="A4" zoomScale="85" zoomScaleNormal="100" zoomScaleSheetLayoutView="85" workbookViewId="0">
      <selection activeCell="AA31" sqref="AA31"/>
    </sheetView>
  </sheetViews>
  <sheetFormatPr defaultRowHeight="1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4" customWidth="1"/>
    <col min="37" max="39" width="3.1796875" style="3" customWidth="1"/>
    <col min="40" max="40" width="2.7265625" style="3" customWidth="1"/>
    <col min="41" max="41" width="4.7265625" style="3" customWidth="1"/>
    <col min="42" max="45" width="4.7265625" style="9" customWidth="1"/>
    <col min="46" max="46" width="8.6328125" style="3" bestFit="1" customWidth="1"/>
    <col min="47" max="47" width="6.26953125" style="3" customWidth="1"/>
    <col min="48" max="48" width="6.26953125" style="4" customWidth="1"/>
    <col min="49" max="49" width="6.26953125" style="2" customWidth="1"/>
    <col min="50" max="52" width="6.26953125" customWidth="1"/>
    <col min="53" max="53" width="22.7265625" customWidth="1"/>
  </cols>
  <sheetData>
    <row r="1" spans="1:53" s="15" customFormat="1" ht="40" customHeight="1" thickBot="1">
      <c r="C1" s="191" t="s">
        <v>61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28"/>
      <c r="AC1" s="100" t="s">
        <v>52</v>
      </c>
      <c r="AD1" s="94"/>
      <c r="AE1" s="100">
        <v>45773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127"/>
      <c r="AQ1" s="127"/>
      <c r="AR1" s="94"/>
      <c r="AS1" s="28"/>
      <c r="AT1" s="121"/>
      <c r="AU1" s="36" t="s">
        <v>53</v>
      </c>
      <c r="AV1" s="48"/>
      <c r="AW1" s="124"/>
      <c r="AX1" s="126" t="s">
        <v>58</v>
      </c>
      <c r="AY1" s="119"/>
      <c r="AZ1" s="119"/>
    </row>
    <row r="2" spans="1:53" ht="13.5" thickBot="1">
      <c r="C2" s="188" t="s">
        <v>39</v>
      </c>
      <c r="D2" s="189"/>
      <c r="E2" s="188">
        <v>1</v>
      </c>
      <c r="F2" s="166"/>
      <c r="G2" s="166"/>
      <c r="H2" s="169">
        <v>2</v>
      </c>
      <c r="I2" s="166"/>
      <c r="J2" s="166"/>
      <c r="K2" s="169">
        <v>3</v>
      </c>
      <c r="L2" s="166"/>
      <c r="M2" s="166"/>
      <c r="N2" s="169">
        <v>4</v>
      </c>
      <c r="O2" s="166"/>
      <c r="P2" s="166"/>
      <c r="Q2" s="169">
        <v>5</v>
      </c>
      <c r="R2" s="166"/>
      <c r="S2" s="166"/>
      <c r="T2" s="169">
        <v>6</v>
      </c>
      <c r="U2" s="166"/>
      <c r="V2" s="189"/>
      <c r="W2" s="165" t="s">
        <v>3</v>
      </c>
      <c r="X2" s="166"/>
      <c r="Y2" s="166"/>
      <c r="Z2" s="169" t="s">
        <v>4</v>
      </c>
      <c r="AA2" s="170" t="s">
        <v>5</v>
      </c>
      <c r="AC2" s="4" t="s">
        <v>10</v>
      </c>
      <c r="AP2" s="38"/>
      <c r="AQ2" s="38"/>
      <c r="AR2" s="2"/>
      <c r="AS2" t="s">
        <v>57</v>
      </c>
      <c r="AT2" s="122"/>
      <c r="AU2" s="70" t="s">
        <v>55</v>
      </c>
      <c r="AV2" s="71" t="s">
        <v>56</v>
      </c>
      <c r="AW2" s="125"/>
      <c r="AX2" s="120" t="s">
        <v>55</v>
      </c>
      <c r="AY2" s="120" t="s">
        <v>56</v>
      </c>
      <c r="AZ2" s="120" t="s">
        <v>54</v>
      </c>
    </row>
    <row r="3" spans="1:53" ht="13.5" thickBot="1">
      <c r="A3"/>
      <c r="B3"/>
      <c r="C3" s="190"/>
      <c r="D3" s="171"/>
      <c r="E3" s="19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71"/>
      <c r="W3" s="167"/>
      <c r="X3" s="168"/>
      <c r="Y3" s="168"/>
      <c r="Z3" s="168"/>
      <c r="AA3" s="171"/>
      <c r="AC3" s="39" t="str">
        <f>D5</f>
        <v>Voráč Pavel</v>
      </c>
      <c r="AD3" s="51" t="s">
        <v>8</v>
      </c>
      <c r="AE3" s="53" t="str">
        <f>D15</f>
        <v>Omelka Marek</v>
      </c>
      <c r="AF3" s="20" t="s">
        <v>103</v>
      </c>
      <c r="AG3" s="21" t="s">
        <v>116</v>
      </c>
      <c r="AH3" s="21" t="s">
        <v>116</v>
      </c>
      <c r="AI3" s="21" t="str">
        <f>IF(ISNUMBER($AR3),
      IF(SIGN($AR3)&gt;=0,
           IF( ISBLANK(INDEX('sk A,B - Muži'!$A$1:'sk A,B - Muži'!$AM$36,ABS($AR3),COLUMN())),"", INDEX('sk A,B - Muži'!$A$1:'sk A,B - Muži'!$AM$36,ABS($AR3),COLUMN())),
           IF(MID(INDEX('sk A,B - Muži'!$A$1:'sk A,B - Muži'!$AM$36,ABS($AR3),COLUMN()),1,1)="-",
                MID(INDEX('sk A,B - Muži'!$A$1:'sk A,B - Muži'!$AM$36,ABS($AR3),COLUMN()),2,5),
                IF( ISBLANK(INDEX('sk A,B - Muži'!$A$1:'sk A,B - Muži'!$AM$36,ABS($AR3),COLUMN())), "",   CONCATENATE("-",INDEX('sk A,B - Muži'!$A$1:'sk A,B - Muži'!$AM$36,ABS($AR3),COLUMN()))   )
               )
          ),
        ""
      )</f>
        <v/>
      </c>
      <c r="AJ3" s="56" t="str">
        <f>IF(ISNUMBER($AR3),
      IF(SIGN($AR3)&gt;=0,
           IF( ISBLANK(INDEX('sk A,B - Muži'!$A$1:'sk A,B - Muži'!$AM$36,ABS($AR3),COLUMN())),"", INDEX('sk A,B - Muži'!$A$1:'sk A,B - Muži'!$AM$36,ABS($AR3),COLUMN())),
           IF(MID(INDEX('sk A,B - Muži'!$A$1:'sk A,B - Muži'!$AM$36,ABS($AR3),COLUMN()),1,1)="-",
                MID(INDEX('sk A,B - Muži'!$A$1:'sk A,B - Muži'!$AM$36,ABS($AR3),COLUMN()),2,5),
                IF( ISBLANK(INDEX('sk A,B - Muži'!$A$1:'sk A,B - Muži'!$AM$36,ABS($AR3),COLUMN())), "",   CONCATENATE("-",INDEX('sk A,B - Muži'!$A$1:'sk A,B - Muži'!$AM$36,ABS($AR3),COLUMN()))   )
               )
          ),
        ""
      )</f>
        <v/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</v>
      </c>
      <c r="AQ3" s="37">
        <f>A14</f>
        <v>5</v>
      </c>
      <c r="AR3" s="2" t="str">
        <f>IF(ISNA(MATCH(CONCATENATE(AP3,"-",AQ3),'sk A,B - Muži'!AR$1:'sk A,B - Muži'!AR$36,0)),  IF(ISNA(MATCH(CONCATENATE(AQ3,"-",AP3),'sk A,B - Muži'!AR$1:'sk A,B - Muži'!AR$36,0)),"",-1*MATCH(CONCATENATE(AQ3,"-",AP3),'sk A,B - Muži'!AR$1:'sk A,B - Muži'!AR$36,0) ),MATCH(CONCATENATE(AP3,"-",AQ3),'sk A,B - Muži'!AR$1:'sk A,B - Muži'!AR$36,0)       )</f>
        <v/>
      </c>
      <c r="AS3">
        <f>$A$8</f>
        <v>3</v>
      </c>
      <c r="AT3" s="123" t="e">
        <f ca="1">IF(AND(_xlfn.ISFORMULA(AF3),OR(LEN(AF3)&gt;0,LEN(AG3)&gt;0,LEN(AH3)&gt;0,LEN(AI3)&gt;0,LEN(AJ3)&gt;0)),"a","")</f>
        <v>#NAME?</v>
      </c>
      <c r="AU3">
        <f t="shared" ref="AU3:AU8" si="0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37</v>
      </c>
      <c r="AV3">
        <f t="shared" ref="AV3:AV8" si="1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26</v>
      </c>
      <c r="AW3" s="123"/>
    </row>
    <row r="4" spans="1:53">
      <c r="A4" s="195">
        <v>1</v>
      </c>
      <c r="B4" s="24"/>
      <c r="C4" s="133">
        <v>1</v>
      </c>
      <c r="D4" s="33" t="str">
        <f>IF(COUNTIF(seznam!$A$2:$A$25,A4)=1,VLOOKUP(A4,seznam!$A$2:$C$25,3,FALSE),"------")</f>
        <v>KST Blansko</v>
      </c>
      <c r="E4" s="140"/>
      <c r="F4" s="141"/>
      <c r="G4" s="142"/>
      <c r="H4" s="152">
        <f>AK12</f>
        <v>3</v>
      </c>
      <c r="I4" s="146" t="s">
        <v>6</v>
      </c>
      <c r="J4" s="153">
        <f>AM12</f>
        <v>0</v>
      </c>
      <c r="K4" s="152">
        <f>AM18</f>
        <v>3</v>
      </c>
      <c r="L4" s="146" t="s">
        <v>6</v>
      </c>
      <c r="M4" s="153">
        <f>AK18</f>
        <v>0</v>
      </c>
      <c r="N4" s="152">
        <f>AK25</f>
        <v>3</v>
      </c>
      <c r="O4" s="146" t="s">
        <v>6</v>
      </c>
      <c r="P4" s="146">
        <f>AM25</f>
        <v>1</v>
      </c>
      <c r="Q4" s="152">
        <f>AM33</f>
        <v>3</v>
      </c>
      <c r="R4" s="146" t="s">
        <v>6</v>
      </c>
      <c r="S4" s="153">
        <f>AK33</f>
        <v>2</v>
      </c>
      <c r="T4" s="152">
        <f>AK3</f>
        <v>3</v>
      </c>
      <c r="U4" s="146" t="s">
        <v>6</v>
      </c>
      <c r="V4" s="186">
        <f>AM3</f>
        <v>0</v>
      </c>
      <c r="W4" s="146">
        <f>H4+K4+N4+Q4+T4</f>
        <v>15</v>
      </c>
      <c r="X4" s="146" t="s">
        <v>6</v>
      </c>
      <c r="Y4" s="153">
        <f>J4+M4+P4+S4+V4</f>
        <v>3</v>
      </c>
      <c r="Z4" s="194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97">
        <v>1</v>
      </c>
      <c r="AB4" s="192"/>
      <c r="AC4" s="40" t="str">
        <f>D7</f>
        <v>Látal Jan</v>
      </c>
      <c r="AD4" s="7" t="s">
        <v>8</v>
      </c>
      <c r="AE4" s="54" t="str">
        <f>D13</f>
        <v>Kmenta Josef</v>
      </c>
      <c r="AF4" s="22" t="s">
        <v>119</v>
      </c>
      <c r="AG4" s="19" t="s">
        <v>108</v>
      </c>
      <c r="AH4" s="19" t="s">
        <v>119</v>
      </c>
      <c r="AI4" s="19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J4" s="52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K4" s="96">
        <f t="shared" ref="AK4:AK8" si="2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0</v>
      </c>
      <c r="AL4" s="13" t="s">
        <v>6</v>
      </c>
      <c r="AM4" s="27">
        <f t="shared" ref="AM4:AM8" si="3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35"/>
      <c r="AO4" s="37"/>
      <c r="AP4" s="37">
        <f>A6</f>
        <v>8</v>
      </c>
      <c r="AQ4" s="37">
        <f>A12</f>
        <v>4</v>
      </c>
      <c r="AR4" s="2" t="str">
        <f>IF(ISNA(MATCH(CONCATENATE(AP4,"-",AQ4),'sk A,B - Muži'!AR$1:'sk A,B - Muži'!AR$36,0)),  IF(ISNA(MATCH(CONCATENATE(AQ4,"-",AP4),'sk A,B - Muži'!AR$1:'sk A,B - Muži'!AR$36,0)),"",-1*MATCH(CONCATENATE(AQ4,"-",AP4),'sk A,B - Muži'!AR$1:'sk A,B - Muži'!AR$36,0) ),MATCH(CONCATENATE(AP4,"-",AQ4),'sk A,B - Muži'!AR$1:'sk A,B - Muži'!AR$36,0)       )</f>
        <v/>
      </c>
      <c r="AS4">
        <f>$A$10</f>
        <v>2</v>
      </c>
      <c r="AT4" s="123" t="e">
        <f t="shared" ref="AT4:AT8" ca="1" si="4">IF(AND(_xlfn.ISFORMULA(AF4),OR(LEN(AF4)&gt;0,LEN(AG4)&gt;0,LEN(AH4)&gt;0,LEN(AI4)&gt;0,LEN(AJ4)&gt;0)),"a","")</f>
        <v>#NAME?</v>
      </c>
      <c r="AU4">
        <f t="shared" si="0"/>
        <v>22</v>
      </c>
      <c r="AV4">
        <f t="shared" si="1"/>
        <v>33</v>
      </c>
      <c r="AW4" s="123"/>
      <c r="AX4" s="120" cm="1">
        <f t="array" aca="1" ref="AX4" ca="1">SUMIF($AP$3:$AP$36,INDIRECT(ADDRESS(ROW(),1)),$AU$3:$AU$36) + SUMIF($AQ$3:$AQ$36,INDIRECT(ADDRESS(ROW(),1)),$AV$3:$AV$36)</f>
        <v>195</v>
      </c>
      <c r="AY4" s="120" cm="1">
        <f t="array" aca="1" ref="AY4" ca="1">SUMIF($AP$3:$AP$36,INDIRECT(ADDRESS(ROW(),1)),$AV$3:$AV$36) + SUMIF($AQ$3:$AQ$36,INDIRECT(ADDRESS(ROW(),1)),$AU$3:$AU$36)</f>
        <v>135</v>
      </c>
      <c r="AZ4" s="120">
        <f ca="1">IFERROR(AX4/AY4,"")</f>
        <v>1.4444444444444444</v>
      </c>
      <c r="BA4" t="str">
        <f>IF($A4&gt;0,IF(VLOOKUP($A4,seznam!$A$2:$C$197,2)&gt;0,VLOOKUP($A4,seznam!$A$2:$C$197,2),"------"),"------")</f>
        <v>Voráč Pavel</v>
      </c>
    </row>
    <row r="5" spans="1:53">
      <c r="A5" s="196"/>
      <c r="B5"/>
      <c r="C5" s="134"/>
      <c r="D5" s="31" t="str">
        <f>IF(COUNTIF(seznam!$A$2:$A$25,A4)=1,VLOOKUP(A4,seznam!$A$2:$C$25,2,FALSE),"------")</f>
        <v>Voráč Pavel</v>
      </c>
      <c r="E5" s="143"/>
      <c r="F5" s="144"/>
      <c r="G5" s="145"/>
      <c r="H5" s="151"/>
      <c r="I5" s="130"/>
      <c r="J5" s="138"/>
      <c r="K5" s="151"/>
      <c r="L5" s="130"/>
      <c r="M5" s="138"/>
      <c r="N5" s="151"/>
      <c r="O5" s="130"/>
      <c r="P5" s="148"/>
      <c r="Q5" s="151"/>
      <c r="R5" s="130"/>
      <c r="S5" s="138"/>
      <c r="T5" s="151"/>
      <c r="U5" s="130"/>
      <c r="V5" s="157"/>
      <c r="W5" s="148"/>
      <c r="X5" s="148"/>
      <c r="Y5" s="138"/>
      <c r="Z5" s="132"/>
      <c r="AA5" s="198"/>
      <c r="AB5" s="193"/>
      <c r="AC5" s="40" t="str">
        <f>D9</f>
        <v>Šimon Samuel</v>
      </c>
      <c r="AD5" s="7" t="s">
        <v>8</v>
      </c>
      <c r="AE5" s="54" t="str">
        <f>D11</f>
        <v>Peťura Patrik</v>
      </c>
      <c r="AF5" s="22" t="s">
        <v>104</v>
      </c>
      <c r="AG5" s="19" t="s">
        <v>123</v>
      </c>
      <c r="AH5" s="19" t="s">
        <v>103</v>
      </c>
      <c r="AI5" s="19" t="s">
        <v>102</v>
      </c>
      <c r="AJ5" s="52" t="s">
        <v>107</v>
      </c>
      <c r="AK5" s="96">
        <f t="shared" si="2"/>
        <v>2</v>
      </c>
      <c r="AL5" s="13" t="s">
        <v>6</v>
      </c>
      <c r="AM5" s="27">
        <f t="shared" si="3"/>
        <v>3</v>
      </c>
      <c r="AN5" s="35"/>
      <c r="AO5" s="37"/>
      <c r="AP5" s="37">
        <f>A8</f>
        <v>3</v>
      </c>
      <c r="AQ5" s="37">
        <f>A10</f>
        <v>2</v>
      </c>
      <c r="AR5" s="2" t="str">
        <f>IF(ISNA(MATCH(CONCATENATE(AP5,"-",AQ5),'sk A,B - Muži'!AR$1:'sk A,B - Muži'!AR$36,0)),  IF(ISNA(MATCH(CONCATENATE(AQ5,"-",AP5),'sk A,B - Muži'!AR$1:'sk A,B - Muži'!AR$36,0)),"",-1*MATCH(CONCATENATE(AQ5,"-",AP5),'sk A,B - Muži'!AR$1:'sk A,B - Muži'!AR$36,0) ),MATCH(CONCATENATE(AP5,"-",AQ5),'sk A,B - Muži'!AR$1:'sk A,B - Muži'!AR$36,0)       )</f>
        <v/>
      </c>
      <c r="AS5">
        <f>$A$4</f>
        <v>1</v>
      </c>
      <c r="AT5" s="123" t="e">
        <f t="shared" ca="1" si="4"/>
        <v>#NAME?</v>
      </c>
      <c r="AU5">
        <f t="shared" si="0"/>
        <v>37</v>
      </c>
      <c r="AV5">
        <f t="shared" si="1"/>
        <v>44</v>
      </c>
      <c r="AW5" s="123"/>
      <c r="AX5" s="120"/>
      <c r="AY5" s="120"/>
      <c r="AZ5" s="120"/>
    </row>
    <row r="6" spans="1:53">
      <c r="A6" s="195">
        <v>8</v>
      </c>
      <c r="B6" s="24"/>
      <c r="C6" s="139">
        <v>2</v>
      </c>
      <c r="D6" s="34" t="str">
        <f>IF(COUNTIF(seznam!$A$2:$A$25,A6)=1,VLOOKUP(A6,seznam!$A$2:$C$25,3,FALSE),"------")</f>
        <v>Jiskra Strážnice</v>
      </c>
      <c r="E6" s="149">
        <f>AM12</f>
        <v>0</v>
      </c>
      <c r="F6" s="129" t="s">
        <v>6</v>
      </c>
      <c r="G6" s="147">
        <f>AK12</f>
        <v>3</v>
      </c>
      <c r="H6" s="175"/>
      <c r="I6" s="176"/>
      <c r="J6" s="183"/>
      <c r="K6" s="150">
        <f>AK26</f>
        <v>1</v>
      </c>
      <c r="L6" s="129" t="s">
        <v>6</v>
      </c>
      <c r="M6" s="147">
        <f>AM26</f>
        <v>3</v>
      </c>
      <c r="N6" s="150">
        <f>AM32</f>
        <v>1</v>
      </c>
      <c r="O6" s="129" t="s">
        <v>6</v>
      </c>
      <c r="P6" s="129">
        <f>AK32</f>
        <v>3</v>
      </c>
      <c r="Q6" s="150">
        <f>AK4</f>
        <v>0</v>
      </c>
      <c r="R6" s="129" t="s">
        <v>6</v>
      </c>
      <c r="S6" s="147">
        <f>AM4</f>
        <v>3</v>
      </c>
      <c r="T6" s="150">
        <f>AK17</f>
        <v>0</v>
      </c>
      <c r="U6" s="129" t="s">
        <v>6</v>
      </c>
      <c r="V6" s="156">
        <f>AM17</f>
        <v>3</v>
      </c>
      <c r="W6" s="129">
        <f>E6+K6+N6+Q6+T6</f>
        <v>2</v>
      </c>
      <c r="X6" s="129" t="s">
        <v>6</v>
      </c>
      <c r="Y6" s="147">
        <f>G6+M6+P6+S6+V6</f>
        <v>15</v>
      </c>
      <c r="Z6" s="194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5</v>
      </c>
      <c r="AA6" s="199">
        <v>6</v>
      </c>
      <c r="AB6" s="192"/>
      <c r="AC6" s="40" t="str">
        <f>D20</f>
        <v>Spěvák Šimon</v>
      </c>
      <c r="AD6" s="7"/>
      <c r="AE6" s="54" t="str">
        <f>D30</f>
        <v>Ides Samuel Hugo</v>
      </c>
      <c r="AF6" s="22" t="s">
        <v>113</v>
      </c>
      <c r="AG6" s="19" t="s">
        <v>109</v>
      </c>
      <c r="AH6" s="19" t="s">
        <v>109</v>
      </c>
      <c r="AI6" s="19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J6" s="52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K6" s="96">
        <f t="shared" si="2"/>
        <v>0</v>
      </c>
      <c r="AL6" s="13" t="s">
        <v>6</v>
      </c>
      <c r="AM6" s="27">
        <f t="shared" si="3"/>
        <v>3</v>
      </c>
      <c r="AN6" s="35"/>
      <c r="AO6" s="37"/>
      <c r="AP6" s="37">
        <f>A19</f>
        <v>10</v>
      </c>
      <c r="AQ6" s="37">
        <f>A29</f>
        <v>9</v>
      </c>
      <c r="AR6" s="2" t="str">
        <f>IF(ISNA(MATCH(CONCATENATE(AP6,"-",AQ6),'sk A,B - Muži'!AR$1:'sk A,B - Muži'!AR$36,0)),  IF(ISNA(MATCH(CONCATENATE(AQ6,"-",AP6),'sk A,B - Muži'!AR$1:'sk A,B - Muži'!AR$36,0)),"",-1*MATCH(CONCATENATE(AQ6,"-",AP6),'sk A,B - Muži'!AR$1:'sk A,B - Muži'!AR$36,0) ),MATCH(CONCATENATE(AP6,"-",AQ6),'sk A,B - Muži'!AR$1:'sk A,B - Muži'!AR$36,0)       )</f>
        <v/>
      </c>
      <c r="AS6">
        <f>$A$23</f>
        <v>6</v>
      </c>
      <c r="AT6" s="123" t="e">
        <f t="shared" ca="1" si="4"/>
        <v>#NAME?</v>
      </c>
      <c r="AU6">
        <f t="shared" si="0"/>
        <v>16</v>
      </c>
      <c r="AV6">
        <f t="shared" si="1"/>
        <v>33</v>
      </c>
      <c r="AW6" s="123"/>
      <c r="AX6" s="120" cm="1">
        <f t="array" aca="1" ref="AX6" ca="1">SUMIF($AP$3:$AP$36,INDIRECT(ADDRESS(ROW(),1)),$AU$3:$AU$36) + SUMIF($AQ$3:$AQ$36,INDIRECT(ADDRESS(ROW(),1)),$AV$3:$AV$36)</f>
        <v>130</v>
      </c>
      <c r="AY6" s="120" cm="1">
        <f t="array" aca="1" ref="AY6" ca="1">SUMIF($AP$3:$AP$36,INDIRECT(ADDRESS(ROW(),1)),$AV$3:$AV$36) + SUMIF($AQ$3:$AQ$36,INDIRECT(ADDRESS(ROW(),1)),$AU$3:$AU$36)</f>
        <v>190</v>
      </c>
      <c r="AZ6" s="120">
        <f ca="1">IFERROR(AX6/AY6,"")</f>
        <v>0.68421052631578949</v>
      </c>
      <c r="BA6" t="str">
        <f>IF($A6&gt;0,IF(VLOOKUP($A6,seznam!$A$2:$C$197,2)&gt;0,VLOOKUP($A6,seznam!$A$2:$C$197,2),"------"),"------")</f>
        <v>Látal Jan</v>
      </c>
    </row>
    <row r="7" spans="1:53">
      <c r="A7" s="196"/>
      <c r="B7"/>
      <c r="C7" s="134"/>
      <c r="D7" s="31" t="str">
        <f>IF(COUNTIF(seznam!$A$2:$A$25,A6)=1,VLOOKUP(A6,seznam!$A$2:$C$25,2,FALSE),"------")</f>
        <v>Látal Jan</v>
      </c>
      <c r="E7" s="136"/>
      <c r="F7" s="130"/>
      <c r="G7" s="138"/>
      <c r="H7" s="184"/>
      <c r="I7" s="144"/>
      <c r="J7" s="145"/>
      <c r="K7" s="151"/>
      <c r="L7" s="130"/>
      <c r="M7" s="138"/>
      <c r="N7" s="151"/>
      <c r="O7" s="130"/>
      <c r="P7" s="148"/>
      <c r="Q7" s="151"/>
      <c r="R7" s="130"/>
      <c r="S7" s="138"/>
      <c r="T7" s="151"/>
      <c r="U7" s="130"/>
      <c r="V7" s="157"/>
      <c r="W7" s="148"/>
      <c r="X7" s="130"/>
      <c r="Y7" s="138"/>
      <c r="Z7" s="132"/>
      <c r="AA7" s="198"/>
      <c r="AB7" s="193"/>
      <c r="AC7" s="40" t="str">
        <f>D22</f>
        <v>Luhan Adam</v>
      </c>
      <c r="AD7" s="7"/>
      <c r="AE7" s="54" t="str">
        <f>D28</f>
        <v>Pantlík Daniel</v>
      </c>
      <c r="AF7" s="22" t="s">
        <v>119</v>
      </c>
      <c r="AG7" s="19" t="s">
        <v>113</v>
      </c>
      <c r="AH7" s="19" t="s">
        <v>119</v>
      </c>
      <c r="AI7" s="19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J7" s="52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K7" s="96">
        <f t="shared" si="2"/>
        <v>0</v>
      </c>
      <c r="AL7" s="13" t="s">
        <v>6</v>
      </c>
      <c r="AM7" s="27">
        <f t="shared" si="3"/>
        <v>3</v>
      </c>
      <c r="AN7" s="9"/>
      <c r="AO7" s="37"/>
      <c r="AP7" s="3">
        <f>A21</f>
        <v>12</v>
      </c>
      <c r="AQ7" s="3">
        <f>A27</f>
        <v>7</v>
      </c>
      <c r="AR7" s="2" t="str">
        <f>IF(ISNA(MATCH(CONCATENATE(AP7,"-",AQ7),'sk A,B - Muži'!AR$1:'sk A,B - Muži'!AR$36,0)),  IF(ISNA(MATCH(CONCATENATE(AQ7,"-",AP7),'sk A,B - Muži'!AR$1:'sk A,B - Muži'!AR$36,0)),"",-1*MATCH(CONCATENATE(AQ7,"-",AP7),'sk A,B - Muži'!AR$1:'sk A,B - Muži'!AR$36,0) ),MATCH(CONCATENATE(AP7,"-",AQ7),'sk A,B - Muži'!AR$1:'sk A,B - Muži'!AR$36,0)       )</f>
        <v/>
      </c>
      <c r="AS7">
        <f>$A$25</f>
        <v>11</v>
      </c>
      <c r="AT7" s="123" t="e">
        <f t="shared" ca="1" si="4"/>
        <v>#NAME?</v>
      </c>
      <c r="AU7">
        <f t="shared" si="0"/>
        <v>20</v>
      </c>
      <c r="AV7">
        <f t="shared" si="1"/>
        <v>33</v>
      </c>
      <c r="AW7" s="123"/>
      <c r="AX7" s="120"/>
      <c r="AY7" s="120"/>
      <c r="AZ7" s="120"/>
    </row>
    <row r="8" spans="1:53" ht="13.5" thickBot="1">
      <c r="A8" s="195">
        <v>3</v>
      </c>
      <c r="B8" s="24"/>
      <c r="C8" s="139">
        <v>3</v>
      </c>
      <c r="D8" s="34" t="str">
        <f>IF(COUNTIF(seznam!$A$2:$A$25,A8)=1,VLOOKUP(A8,seznam!$A$2:$C$25,3,FALSE),"------")</f>
        <v>KST FOSFA LVA</v>
      </c>
      <c r="E8" s="149">
        <f>AK18</f>
        <v>0</v>
      </c>
      <c r="F8" s="129" t="s">
        <v>6</v>
      </c>
      <c r="G8" s="147">
        <f>AM18</f>
        <v>3</v>
      </c>
      <c r="H8" s="150">
        <f>AM26</f>
        <v>3</v>
      </c>
      <c r="I8" s="129" t="s">
        <v>6</v>
      </c>
      <c r="J8" s="147">
        <f>AK26</f>
        <v>1</v>
      </c>
      <c r="K8" s="175"/>
      <c r="L8" s="176"/>
      <c r="M8" s="183"/>
      <c r="N8" s="150">
        <f>AK5</f>
        <v>2</v>
      </c>
      <c r="O8" s="129" t="s">
        <v>6</v>
      </c>
      <c r="P8" s="129">
        <f>AM5</f>
        <v>3</v>
      </c>
      <c r="Q8" s="150">
        <f>AM11</f>
        <v>0</v>
      </c>
      <c r="R8" s="129" t="s">
        <v>6</v>
      </c>
      <c r="S8" s="147">
        <f>AK11</f>
        <v>3</v>
      </c>
      <c r="T8" s="150">
        <f>AK31</f>
        <v>1</v>
      </c>
      <c r="U8" s="129" t="s">
        <v>6</v>
      </c>
      <c r="V8" s="156">
        <f>AM31</f>
        <v>3</v>
      </c>
      <c r="W8" s="129">
        <f>H8+E8+N8+Q8+T8</f>
        <v>6</v>
      </c>
      <c r="X8" s="129" t="s">
        <v>6</v>
      </c>
      <c r="Y8" s="147">
        <f>J8+G8+P8+S8+V8</f>
        <v>13</v>
      </c>
      <c r="Z8" s="194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6</v>
      </c>
      <c r="AA8" s="199">
        <v>5</v>
      </c>
      <c r="AB8" s="192"/>
      <c r="AC8" s="41" t="str">
        <f>D24</f>
        <v>Tomeček Richard</v>
      </c>
      <c r="AD8" s="42"/>
      <c r="AE8" s="55" t="str">
        <f>D26</f>
        <v>Plotzer Robin</v>
      </c>
      <c r="AF8" s="43" t="s">
        <v>108</v>
      </c>
      <c r="AG8" s="44" t="s">
        <v>105</v>
      </c>
      <c r="AH8" s="44" t="s">
        <v>103</v>
      </c>
      <c r="AI8" s="44" t="s">
        <v>101</v>
      </c>
      <c r="AJ8" s="57" t="s">
        <v>112</v>
      </c>
      <c r="AK8" s="97">
        <f t="shared" si="2"/>
        <v>3</v>
      </c>
      <c r="AL8" s="46" t="s">
        <v>6</v>
      </c>
      <c r="AM8" s="47">
        <f t="shared" si="3"/>
        <v>2</v>
      </c>
      <c r="AN8" s="35"/>
      <c r="AO8" s="37"/>
      <c r="AP8" s="37">
        <f>A23</f>
        <v>6</v>
      </c>
      <c r="AQ8" s="37">
        <f>A25</f>
        <v>11</v>
      </c>
      <c r="AR8" s="2" t="str">
        <f>IF(ISNA(MATCH(CONCATENATE(AP8,"-",AQ8),'sk A,B - Muži'!AR$1:'sk A,B - Muži'!AR$36,0)),  IF(ISNA(MATCH(CONCATENATE(AQ8,"-",AP8),'sk A,B - Muži'!AR$1:'sk A,B - Muži'!AR$36,0)),"",-1*MATCH(CONCATENATE(AQ8,"-",AP8),'sk A,B - Muži'!AR$1:'sk A,B - Muži'!AR$36,0) ),MATCH(CONCATENATE(AP8,"-",AQ8),'sk A,B - Muži'!AR$1:'sk A,B - Muži'!AR$36,0)       )</f>
        <v/>
      </c>
      <c r="AS8">
        <f>$A$19</f>
        <v>10</v>
      </c>
      <c r="AT8" s="123" t="e">
        <f t="shared" ca="1" si="4"/>
        <v>#NAME?</v>
      </c>
      <c r="AU8">
        <f t="shared" si="0"/>
        <v>50</v>
      </c>
      <c r="AV8">
        <f t="shared" si="1"/>
        <v>43</v>
      </c>
      <c r="AW8" s="123"/>
      <c r="AX8" s="120" cm="1">
        <f t="array" aca="1" ref="AX8" ca="1">SUMIF($AP$3:$AP$36,INDIRECT(ADDRESS(ROW(),1)),$AU$3:$AU$36) + SUMIF($AQ$3:$AQ$36,INDIRECT(ADDRESS(ROW(),1)),$AV$3:$AV$36)</f>
        <v>160</v>
      </c>
      <c r="AY8" s="120" cm="1">
        <f t="array" aca="1" ref="AY8" ca="1">SUMIF($AP$3:$AP$36,INDIRECT(ADDRESS(ROW(),1)),$AV$3:$AV$36) + SUMIF($AQ$3:$AQ$36,INDIRECT(ADDRESS(ROW(),1)),$AU$3:$AU$36)</f>
        <v>188</v>
      </c>
      <c r="AZ8" s="120">
        <f ca="1">IFERROR(AX8/AY8,"")</f>
        <v>0.85106382978723405</v>
      </c>
      <c r="BA8" t="str">
        <f>IF($A8&gt;0,IF(VLOOKUP($A8,seznam!$A$2:$C$197,2)&gt;0,VLOOKUP($A8,seznam!$A$2:$C$197,2),"------"),"------")</f>
        <v>Šimon Samuel</v>
      </c>
    </row>
    <row r="9" spans="1:53" ht="13.5" thickBot="1">
      <c r="A9" s="196"/>
      <c r="B9"/>
      <c r="C9" s="134"/>
      <c r="D9" s="31" t="str">
        <f>IF(COUNTIF(seznam!$A$2:$A$25,A8)=1,VLOOKUP(A8,seznam!$A$2:$C$25,2,FALSE),"------")</f>
        <v>Šimon Samuel</v>
      </c>
      <c r="E9" s="136"/>
      <c r="F9" s="130"/>
      <c r="G9" s="138"/>
      <c r="H9" s="151"/>
      <c r="I9" s="130"/>
      <c r="J9" s="138"/>
      <c r="K9" s="184"/>
      <c r="L9" s="144"/>
      <c r="M9" s="145"/>
      <c r="N9" s="151"/>
      <c r="O9" s="130"/>
      <c r="P9" s="148"/>
      <c r="Q9" s="151"/>
      <c r="R9" s="130"/>
      <c r="S9" s="138"/>
      <c r="T9" s="151"/>
      <c r="U9" s="130"/>
      <c r="V9" s="157"/>
      <c r="W9" s="148"/>
      <c r="X9" s="148"/>
      <c r="Y9" s="138"/>
      <c r="Z9" s="132"/>
      <c r="AA9" s="198"/>
      <c r="AB9" s="193"/>
      <c r="AC9" s="4" t="s">
        <v>11</v>
      </c>
      <c r="AK9" s="98"/>
      <c r="AL9" s="9"/>
      <c r="AM9" s="9"/>
      <c r="AN9" s="35"/>
      <c r="AO9" s="37"/>
      <c r="AP9" s="37"/>
      <c r="AQ9" s="37"/>
      <c r="AR9" s="2" t="str">
        <f>IF(ISNA(MATCH(CONCATENATE(AP9,"-",AQ9),'sk A,B - Muži'!AR$1:'sk A,B - Muži'!AR$36,0)),  IF(ISNA(MATCH(CONCATENATE(AQ9,"-",AP9),'sk A,B - Muži'!AR$1:'sk A,B - Muži'!AR$36,0)),"",-1*MATCH(CONCATENATE(AQ9,"-",AP9),'sk A,B - Muži'!AR$1:'sk A,B - Muži'!AR$36,0) ),MATCH(CONCATENATE(AP9,"-",AQ9),'sk A,B - Muži'!AR$1:'sk A,B - Muži'!AR$36,0)       )</f>
        <v/>
      </c>
      <c r="AS9"/>
      <c r="AT9" s="123"/>
      <c r="AU9"/>
      <c r="AV9"/>
      <c r="AW9" s="123"/>
      <c r="AX9" s="120"/>
      <c r="AY9" s="120"/>
      <c r="AZ9" s="120"/>
    </row>
    <row r="10" spans="1:53">
      <c r="A10" s="195">
        <v>2</v>
      </c>
      <c r="B10" s="24"/>
      <c r="C10" s="139">
        <v>4</v>
      </c>
      <c r="D10" s="34" t="str">
        <f>IF(COUNTIF(seznam!$A$2:$A$25,A10)=1,VLOOKUP(A10,seznam!$A$2:$C$25,3,FALSE),"------")</f>
        <v>Jiskra Strážnice</v>
      </c>
      <c r="E10" s="149">
        <f>AM25</f>
        <v>1</v>
      </c>
      <c r="F10" s="129" t="s">
        <v>6</v>
      </c>
      <c r="G10" s="147">
        <f>AK25</f>
        <v>3</v>
      </c>
      <c r="H10" s="150">
        <f>AK32</f>
        <v>3</v>
      </c>
      <c r="I10" s="129" t="s">
        <v>6</v>
      </c>
      <c r="J10" s="147">
        <f>AM32</f>
        <v>1</v>
      </c>
      <c r="K10" s="150">
        <f>AM5</f>
        <v>3</v>
      </c>
      <c r="L10" s="129" t="s">
        <v>6</v>
      </c>
      <c r="M10" s="147">
        <f>AK5</f>
        <v>2</v>
      </c>
      <c r="N10" s="175"/>
      <c r="O10" s="176"/>
      <c r="P10" s="176"/>
      <c r="Q10" s="150">
        <f>AK19</f>
        <v>0</v>
      </c>
      <c r="R10" s="129" t="s">
        <v>6</v>
      </c>
      <c r="S10" s="147">
        <f>AM19</f>
        <v>3</v>
      </c>
      <c r="T10" s="150">
        <f>AM10</f>
        <v>3</v>
      </c>
      <c r="U10" s="129" t="s">
        <v>6</v>
      </c>
      <c r="V10" s="156">
        <f>AK10</f>
        <v>1</v>
      </c>
      <c r="W10" s="129">
        <f>H10+K10+E10+Q10+T10</f>
        <v>10</v>
      </c>
      <c r="X10" s="129" t="s">
        <v>6</v>
      </c>
      <c r="Y10" s="147">
        <f>J10+M10+G10+S10+V10</f>
        <v>10</v>
      </c>
      <c r="Z10" s="194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8</v>
      </c>
      <c r="AA10" s="199">
        <v>3</v>
      </c>
      <c r="AB10" s="192"/>
      <c r="AC10" s="39" t="str">
        <f>D15</f>
        <v>Omelka Marek</v>
      </c>
      <c r="AD10" s="51" t="s">
        <v>8</v>
      </c>
      <c r="AE10" s="5" t="str">
        <f>D11</f>
        <v>Peťura Patrik</v>
      </c>
      <c r="AF10" s="20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-13</v>
      </c>
      <c r="AG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-10</v>
      </c>
      <c r="AH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8</v>
      </c>
      <c r="AI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-7</v>
      </c>
      <c r="AJ10" s="56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/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1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5</v>
      </c>
      <c r="AQ10" s="37">
        <f>A10</f>
        <v>2</v>
      </c>
      <c r="AR10" s="2">
        <f>IF(ISNA(MATCH(CONCATENATE(AP10,"-",AQ10),'sk A,B - Muži'!AR$1:'sk A,B - Muži'!AR$36,0)),  IF(ISNA(MATCH(CONCATENATE(AQ10,"-",AP10),'sk A,B - Muži'!AR$1:'sk A,B - Muži'!AR$36,0)),"",-1*MATCH(CONCATENATE(AQ10,"-",AP10),'sk A,B - Muži'!AR$1:'sk A,B - Muži'!AR$36,0) ),MATCH(CONCATENATE(AP10,"-",AQ10),'sk A,B - Muži'!AR$1:'sk A,B - Muži'!AR$36,0)       )</f>
        <v>-28</v>
      </c>
      <c r="AS10">
        <f>$A$12</f>
        <v>4</v>
      </c>
      <c r="AT10" s="123" t="s">
        <v>122</v>
      </c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41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46</v>
      </c>
      <c r="AW10" s="123"/>
      <c r="AX10" s="120" cm="1">
        <f t="array" aca="1" ref="AX10" ca="1">SUMIF($AP$3:$AP$36,INDIRECT(ADDRESS(ROW(),1)),$AU$3:$AU$36) + SUMIF($AQ$3:$AQ$36,INDIRECT(ADDRESS(ROW(),1)),$AV$3:$AV$36)</f>
        <v>190</v>
      </c>
      <c r="AY10" s="120" cm="1">
        <f t="array" aca="1" ref="AY10" ca="1">SUMIF($AP$3:$AP$36,INDIRECT(ADDRESS(ROW(),1)),$AV$3:$AV$36) + SUMIF($AQ$3:$AQ$36,INDIRECT(ADDRESS(ROW(),1)),$AU$3:$AU$36)</f>
        <v>189</v>
      </c>
      <c r="AZ10" s="120">
        <f ca="1">IFERROR(AX10/AY10,"")</f>
        <v>1.0052910052910053</v>
      </c>
      <c r="BA10" t="str">
        <f>IF($A10&gt;0,IF(VLOOKUP($A10,seznam!$A$2:$C$197,2)&gt;0,VLOOKUP($A10,seznam!$A$2:$C$197,2),"------"),"------")</f>
        <v>Peťura Patrik</v>
      </c>
    </row>
    <row r="11" spans="1:53">
      <c r="A11" s="196"/>
      <c r="B11"/>
      <c r="C11" s="134"/>
      <c r="D11" s="31" t="str">
        <f>IF(COUNTIF(seznam!$A$2:$A$25,A10)=1,VLOOKUP(A10,seznam!$A$2:$C$25,2,FALSE),"------")</f>
        <v>Peťura Patrik</v>
      </c>
      <c r="E11" s="136"/>
      <c r="F11" s="130"/>
      <c r="G11" s="138"/>
      <c r="H11" s="151"/>
      <c r="I11" s="130"/>
      <c r="J11" s="138"/>
      <c r="K11" s="151"/>
      <c r="L11" s="130"/>
      <c r="M11" s="138"/>
      <c r="N11" s="184"/>
      <c r="O11" s="144"/>
      <c r="P11" s="144"/>
      <c r="Q11" s="151"/>
      <c r="R11" s="130"/>
      <c r="S11" s="138"/>
      <c r="T11" s="151"/>
      <c r="U11" s="130"/>
      <c r="V11" s="157"/>
      <c r="W11" s="148"/>
      <c r="X11" s="148"/>
      <c r="Y11" s="138"/>
      <c r="Z11" s="132"/>
      <c r="AA11" s="198"/>
      <c r="AB11" s="193"/>
      <c r="AC11" s="40" t="str">
        <f>D13</f>
        <v>Kmenta Josef</v>
      </c>
      <c r="AD11" s="7" t="s">
        <v>8</v>
      </c>
      <c r="AE11" s="82" t="str">
        <f>D9</f>
        <v>Šimon Samuel</v>
      </c>
      <c r="AF11" s="22" t="s">
        <v>101</v>
      </c>
      <c r="AG11" s="19" t="s">
        <v>98</v>
      </c>
      <c r="AH11" s="19" t="s">
        <v>98</v>
      </c>
      <c r="AI11" s="19" t="str">
        <f>IF(ISNUMBER($AR11),
      IF(SIGN($AR11)&gt;=0,
           IF( ISBLANK(INDEX('sk A,B - Muži'!$A$1:'sk A,B - Muži'!$AM$36,ABS($AR11),COLUMN())),"", INDEX('sk A,B - Muži'!$A$1:'sk A,B - Muži'!$AM$36,ABS($AR11),COLUMN())),
           IF(MID(INDEX('sk A,B - Muži'!$A$1:'sk A,B - Muži'!$AM$36,ABS($AR11),COLUMN()),1,1)="-",
                MID(INDEX('sk A,B - Muži'!$A$1:'sk A,B - Muži'!$AM$36,ABS($AR11),COLUMN()),2,5),
                IF( ISBLANK(INDEX('sk A,B - Muži'!$A$1:'sk A,B - Muži'!$AM$36,ABS($AR11),COLUMN())), "",   CONCATENATE("-",INDEX('sk A,B - Muži'!$A$1:'sk A,B - Muži'!$AM$36,ABS($AR11),COLUMN()))   )
               )
          ),
        ""
      )</f>
        <v/>
      </c>
      <c r="AJ11" s="52" t="str">
        <f>IF(ISNUMBER($AR11),
      IF(SIGN($AR11)&gt;=0,
           IF( ISBLANK(INDEX('sk A,B - Muži'!$A$1:'sk A,B - Muži'!$AM$36,ABS($AR11),COLUMN())),"", INDEX('sk A,B - Muži'!$A$1:'sk A,B - Muži'!$AM$36,ABS($AR11),COLUMN())),
           IF(MID(INDEX('sk A,B - Muži'!$A$1:'sk A,B - Muži'!$AM$36,ABS($AR11),COLUMN()),1,1)="-",
                MID(INDEX('sk A,B - Muži'!$A$1:'sk A,B - Muži'!$AM$36,ABS($AR11),COLUMN()),2,5),
                IF( ISBLANK(INDEX('sk A,B - Muži'!$A$1:'sk A,B - Muži'!$AM$36,ABS($AR11),COLUMN())), "",   CONCATENATE("-",INDEX('sk A,B - Muži'!$A$1:'sk A,B - Muži'!$AM$36,ABS($AR11),COLUMN()))   )
               )
          ),
        ""
      )</f>
        <v/>
      </c>
      <c r="AK11" s="96">
        <f t="shared" ref="AK11:AK15" si="7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3</v>
      </c>
      <c r="AL11" s="13" t="s">
        <v>6</v>
      </c>
      <c r="AM11" s="27">
        <f t="shared" ref="AM11:AM15" si="8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0</v>
      </c>
      <c r="AN11" s="35"/>
      <c r="AO11" s="37"/>
      <c r="AP11" s="37">
        <f>A12</f>
        <v>4</v>
      </c>
      <c r="AQ11" s="37">
        <f>A8</f>
        <v>3</v>
      </c>
      <c r="AR11" s="2" t="str">
        <f>IF(ISNA(MATCH(CONCATENATE(AP11,"-",AQ11),'sk A,B - Muži'!AR$1:'sk A,B - Muži'!AR$36,0)),  IF(ISNA(MATCH(CONCATENATE(AQ11,"-",AP11),'sk A,B - Muži'!AR$1:'sk A,B - Muži'!AR$36,0)),"",-1*MATCH(CONCATENATE(AQ11,"-",AP11),'sk A,B - Muži'!AR$1:'sk A,B - Muži'!AR$36,0) ),MATCH(CONCATENATE(AP11,"-",AQ11),'sk A,B - Muži'!AR$1:'sk A,B - Muži'!AR$36,0)       )</f>
        <v/>
      </c>
      <c r="AS11">
        <f>$A$6</f>
        <v>8</v>
      </c>
      <c r="AT11" s="123" t="e">
        <f t="shared" ref="AT10:AT15" ca="1" si="9">IF(AND(_xlfn.ISFORMULA(AF11),OR(LEN(AF11)&gt;0,LEN(AG11)&gt;0,LEN(AH11)&gt;0,LEN(AI11)&gt;0,LEN(AJ11)&gt;0)),"a","")</f>
        <v>#NAME?</v>
      </c>
      <c r="AU11">
        <f t="shared" si="5"/>
        <v>33</v>
      </c>
      <c r="AV11">
        <f t="shared" si="6"/>
        <v>18</v>
      </c>
      <c r="AW11" s="123"/>
      <c r="AX11" s="120"/>
      <c r="AY11" s="120"/>
      <c r="AZ11" s="120"/>
    </row>
    <row r="12" spans="1:53">
      <c r="A12" s="195">
        <v>4</v>
      </c>
      <c r="B12" s="24"/>
      <c r="C12" s="139">
        <v>5</v>
      </c>
      <c r="D12" s="34" t="str">
        <f>IF(COUNTIF(seznam!$A$2:$A$25,A12)=1,VLOOKUP(A12,seznam!$A$2:$C$25,3,FALSE),"------")</f>
        <v>SKST Hodonín</v>
      </c>
      <c r="E12" s="149">
        <f>AK33</f>
        <v>2</v>
      </c>
      <c r="F12" s="129" t="s">
        <v>6</v>
      </c>
      <c r="G12" s="147">
        <f>AM33</f>
        <v>3</v>
      </c>
      <c r="H12" s="150">
        <f>AM4</f>
        <v>3</v>
      </c>
      <c r="I12" s="129" t="s">
        <v>6</v>
      </c>
      <c r="J12" s="147">
        <f>AK4</f>
        <v>0</v>
      </c>
      <c r="K12" s="150">
        <f>AK11</f>
        <v>3</v>
      </c>
      <c r="L12" s="129" t="s">
        <v>6</v>
      </c>
      <c r="M12" s="147">
        <f>AM11</f>
        <v>0</v>
      </c>
      <c r="N12" s="150">
        <f>AM19</f>
        <v>3</v>
      </c>
      <c r="O12" s="129" t="s">
        <v>6</v>
      </c>
      <c r="P12" s="129">
        <f>AK19</f>
        <v>0</v>
      </c>
      <c r="Q12" s="175"/>
      <c r="R12" s="176"/>
      <c r="S12" s="183"/>
      <c r="T12" s="150">
        <f>AM24</f>
        <v>3</v>
      </c>
      <c r="U12" s="129" t="s">
        <v>6</v>
      </c>
      <c r="V12" s="156">
        <f>AK24</f>
        <v>0</v>
      </c>
      <c r="W12" s="129">
        <f>H12+K12+N12+E12+T12</f>
        <v>14</v>
      </c>
      <c r="X12" s="129" t="s">
        <v>6</v>
      </c>
      <c r="Y12" s="147">
        <f>J12+M12+P12+G12+V12</f>
        <v>3</v>
      </c>
      <c r="Z12" s="194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99">
        <v>2</v>
      </c>
      <c r="AB12" s="192"/>
      <c r="AC12" s="40" t="str">
        <f>D5</f>
        <v>Voráč Pavel</v>
      </c>
      <c r="AD12" s="7" t="s">
        <v>8</v>
      </c>
      <c r="AE12" s="82" t="str">
        <f>D7</f>
        <v>Látal Jan</v>
      </c>
      <c r="AF12" s="2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7</v>
      </c>
      <c r="AG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3</v>
      </c>
      <c r="AH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4</v>
      </c>
      <c r="AI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/>
      </c>
      <c r="AJ12" s="5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/>
      </c>
      <c r="AK12" s="96">
        <f t="shared" si="7"/>
        <v>3</v>
      </c>
      <c r="AL12" s="13" t="s">
        <v>6</v>
      </c>
      <c r="AM12" s="27">
        <f t="shared" si="8"/>
        <v>0</v>
      </c>
      <c r="AN12" s="9"/>
      <c r="AO12" s="37"/>
      <c r="AP12" s="3">
        <f>A4</f>
        <v>1</v>
      </c>
      <c r="AQ12" s="3">
        <f>A6</f>
        <v>8</v>
      </c>
      <c r="AR12" s="2">
        <f>IF(ISNA(MATCH(CONCATENATE(AP12,"-",AQ12),'sk A,B - Muži'!AR$1:'sk A,B - Muži'!AR$36,0)),  IF(ISNA(MATCH(CONCATENATE(AQ12,"-",AP12),'sk A,B - Muži'!AR$1:'sk A,B - Muži'!AR$36,0)),"",-1*MATCH(CONCATENATE(AQ12,"-",AP12),'sk A,B - Muži'!AR$1:'sk A,B - Muži'!AR$36,0) ),MATCH(CONCATENATE(AP12,"-",AQ12),'sk A,B - Muži'!AR$1:'sk A,B - Muži'!AR$36,0)       )</f>
        <v>-18</v>
      </c>
      <c r="AS12">
        <f>$A$14</f>
        <v>5</v>
      </c>
      <c r="AT12" s="123" t="s">
        <v>122</v>
      </c>
      <c r="AU12">
        <f t="shared" si="5"/>
        <v>33</v>
      </c>
      <c r="AV12">
        <f t="shared" si="6"/>
        <v>14</v>
      </c>
      <c r="AW12" s="123"/>
      <c r="AX12" s="120" cm="1">
        <f t="array" aca="1" ref="AX12" ca="1">SUMIF($AP$3:$AP$36,INDIRECT(ADDRESS(ROW(),1)),$AU$3:$AU$36) + SUMIF($AQ$3:$AQ$36,INDIRECT(ADDRESS(ROW(),1)),$AV$3:$AV$36)</f>
        <v>183</v>
      </c>
      <c r="AY12" s="120" cm="1">
        <f t="array" aca="1" ref="AY12" ca="1">SUMIF($AP$3:$AP$36,INDIRECT(ADDRESS(ROW(),1)),$AV$3:$AV$36) + SUMIF($AQ$3:$AQ$36,INDIRECT(ADDRESS(ROW(),1)),$AU$3:$AU$36)</f>
        <v>137</v>
      </c>
      <c r="AZ12" s="120">
        <f ca="1">IFERROR(AX12/AY12,"")</f>
        <v>1.3357664233576643</v>
      </c>
      <c r="BA12" t="str">
        <f>IF($A12&gt;0,IF(VLOOKUP($A12,seznam!$A$2:$C$197,2)&gt;0,VLOOKUP($A12,seznam!$A$2:$C$197,2),"------"),"------")</f>
        <v>Kmenta Josef</v>
      </c>
    </row>
    <row r="13" spans="1:53">
      <c r="A13" s="196"/>
      <c r="B13"/>
      <c r="C13" s="134"/>
      <c r="D13" s="31" t="str">
        <f>IF(COUNTIF(seznam!$A$2:$A$25,A12)=1,VLOOKUP(A12,seznam!$A$2:$C$25,2,FALSE),"------")</f>
        <v>Kmenta Josef</v>
      </c>
      <c r="E13" s="136"/>
      <c r="F13" s="130"/>
      <c r="G13" s="138"/>
      <c r="H13" s="151"/>
      <c r="I13" s="130"/>
      <c r="J13" s="138"/>
      <c r="K13" s="151"/>
      <c r="L13" s="130"/>
      <c r="M13" s="138"/>
      <c r="N13" s="151"/>
      <c r="O13" s="130"/>
      <c r="P13" s="148"/>
      <c r="Q13" s="184"/>
      <c r="R13" s="144"/>
      <c r="S13" s="145"/>
      <c r="T13" s="151"/>
      <c r="U13" s="130"/>
      <c r="V13" s="182"/>
      <c r="W13" s="148"/>
      <c r="X13" s="148"/>
      <c r="Y13" s="138"/>
      <c r="Z13" s="132"/>
      <c r="AA13" s="200"/>
      <c r="AB13" s="193"/>
      <c r="AC13" s="40" t="str">
        <f>D30</f>
        <v>Ides Samuel Hugo</v>
      </c>
      <c r="AD13" s="7"/>
      <c r="AE13" s="82" t="str">
        <f>D26</f>
        <v>Plotzer Robin</v>
      </c>
      <c r="AF13" s="2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-9</v>
      </c>
      <c r="AG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4</v>
      </c>
      <c r="AH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-7</v>
      </c>
      <c r="AI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8</v>
      </c>
      <c r="AJ13" s="5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-9</v>
      </c>
      <c r="AK13" s="96">
        <f t="shared" si="7"/>
        <v>2</v>
      </c>
      <c r="AL13" s="13" t="s">
        <v>6</v>
      </c>
      <c r="AM13" s="27">
        <f t="shared" si="8"/>
        <v>3</v>
      </c>
      <c r="AN13" s="35"/>
      <c r="AO13" s="37"/>
      <c r="AP13" s="37">
        <f>A29</f>
        <v>9</v>
      </c>
      <c r="AQ13" s="37">
        <f>A25</f>
        <v>11</v>
      </c>
      <c r="AR13" s="2">
        <f>IF(ISNA(MATCH(CONCATENATE(AP13,"-",AQ13),'sk A,B - Muži'!AR$1:'sk A,B - Muži'!AR$36,0)),  IF(ISNA(MATCH(CONCATENATE(AQ13,"-",AP13),'sk A,B - Muži'!AR$1:'sk A,B - Muži'!AR$36,0)),"",-1*MATCH(CONCATENATE(AQ13,"-",AP13),'sk A,B - Muži'!AR$1:'sk A,B - Muži'!AR$36,0) ),MATCH(CONCATENATE(AP13,"-",AQ13),'sk A,B - Muži'!AR$1:'sk A,B - Muži'!AR$36,0)       )</f>
        <v>20</v>
      </c>
      <c r="AS13">
        <f>$A$27</f>
        <v>7</v>
      </c>
      <c r="AT13" s="123" t="s">
        <v>122</v>
      </c>
      <c r="AU13">
        <f t="shared" si="5"/>
        <v>47</v>
      </c>
      <c r="AV13">
        <f t="shared" si="6"/>
        <v>45</v>
      </c>
      <c r="AW13" s="123"/>
      <c r="AX13" s="120"/>
      <c r="AY13" s="120"/>
      <c r="AZ13" s="120"/>
    </row>
    <row r="14" spans="1:53">
      <c r="A14" s="195">
        <v>5</v>
      </c>
      <c r="B14" s="24"/>
      <c r="C14" s="139">
        <v>6</v>
      </c>
      <c r="D14" s="34" t="str">
        <f>IF(COUNTIF(seznam!$A$2:$A$25,A14)=1,VLOOKUP(A14,seznam!$A$2:$C$25,3,FALSE),"------")</f>
        <v>KST FOSFA LVA</v>
      </c>
      <c r="E14" s="149">
        <f>AM3</f>
        <v>0</v>
      </c>
      <c r="F14" s="129" t="s">
        <v>6</v>
      </c>
      <c r="G14" s="147">
        <f>AK3</f>
        <v>3</v>
      </c>
      <c r="H14" s="150">
        <f>AM17</f>
        <v>3</v>
      </c>
      <c r="I14" s="129" t="s">
        <v>6</v>
      </c>
      <c r="J14" s="147">
        <f>AK17</f>
        <v>0</v>
      </c>
      <c r="K14" s="150">
        <f>AM31</f>
        <v>3</v>
      </c>
      <c r="L14" s="129" t="s">
        <v>6</v>
      </c>
      <c r="M14" s="147">
        <f>AK31</f>
        <v>1</v>
      </c>
      <c r="N14" s="150">
        <f>AK10</f>
        <v>1</v>
      </c>
      <c r="O14" s="129" t="s">
        <v>6</v>
      </c>
      <c r="P14" s="129">
        <f>AM10</f>
        <v>3</v>
      </c>
      <c r="Q14" s="150">
        <f>AK24</f>
        <v>0</v>
      </c>
      <c r="R14" s="129" t="s">
        <v>6</v>
      </c>
      <c r="S14" s="147">
        <f>AM24</f>
        <v>3</v>
      </c>
      <c r="T14" s="175"/>
      <c r="U14" s="176"/>
      <c r="V14" s="177"/>
      <c r="W14" s="129">
        <f>H14+K14+N14+Q14+E14</f>
        <v>7</v>
      </c>
      <c r="X14" s="129" t="s">
        <v>6</v>
      </c>
      <c r="Y14" s="147">
        <f>J14+M14+P14+S14+G14</f>
        <v>10</v>
      </c>
      <c r="Z14" s="13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7</v>
      </c>
      <c r="AA14" s="199">
        <v>4</v>
      </c>
      <c r="AB14" s="192"/>
      <c r="AC14" s="40" t="str">
        <f>D28</f>
        <v>Pantlík Daniel</v>
      </c>
      <c r="AD14" s="7"/>
      <c r="AE14" s="82" t="str">
        <f>D24</f>
        <v>Tomeček Richard</v>
      </c>
      <c r="AF14" s="22" t="s">
        <v>103</v>
      </c>
      <c r="AG14" s="19" t="s">
        <v>99</v>
      </c>
      <c r="AH14" s="19" t="s">
        <v>110</v>
      </c>
      <c r="AI14" s="19" t="str">
        <f>IF(ISNUMBER($AR14),
      IF(SIGN($AR14)&gt;=0,
           IF( ISBLANK(INDEX('sk A,B - Muži'!$A$1:'sk A,B - Muži'!$AM$36,ABS($AR14),COLUMN())),"", INDEX('sk A,B - Muži'!$A$1:'sk A,B - Muži'!$AM$36,ABS($AR14),COLUMN())),
           IF(MID(INDEX('sk A,B - Muži'!$A$1:'sk A,B - Muži'!$AM$36,ABS($AR14),COLUMN()),1,1)="-",
                MID(INDEX('sk A,B - Muži'!$A$1:'sk A,B - Muži'!$AM$36,ABS($AR14),COLUMN()),2,5),
                IF( ISBLANK(INDEX('sk A,B - Muži'!$A$1:'sk A,B - Muži'!$AM$36,ABS($AR14),COLUMN())), "",   CONCATENATE("-",INDEX('sk A,B - Muži'!$A$1:'sk A,B - Muži'!$AM$36,ABS($AR14),COLUMN()))   )
               )
          ),
        ""
      )</f>
        <v/>
      </c>
      <c r="AJ14" s="52" t="str">
        <f>IF(ISNUMBER($AR14),
      IF(SIGN($AR14)&gt;=0,
           IF( ISBLANK(INDEX('sk A,B - Muži'!$A$1:'sk A,B - Muži'!$AM$36,ABS($AR14),COLUMN())),"", INDEX('sk A,B - Muži'!$A$1:'sk A,B - Muži'!$AM$36,ABS($AR14),COLUMN())),
           IF(MID(INDEX('sk A,B - Muži'!$A$1:'sk A,B - Muži'!$AM$36,ABS($AR14),COLUMN()),1,1)="-",
                MID(INDEX('sk A,B - Muži'!$A$1:'sk A,B - Muži'!$AM$36,ABS($AR14),COLUMN()),2,5),
                IF( ISBLANK(INDEX('sk A,B - Muži'!$A$1:'sk A,B - Muži'!$AM$36,ABS($AR14),COLUMN())), "",   CONCATENATE("-",INDEX('sk A,B - Muži'!$A$1:'sk A,B - Muži'!$AM$36,ABS($AR14),COLUMN()))   )
               )
          ),
        ""
      )</f>
        <v/>
      </c>
      <c r="AK14" s="96">
        <f t="shared" si="7"/>
        <v>3</v>
      </c>
      <c r="AL14" s="13" t="s">
        <v>6</v>
      </c>
      <c r="AM14" s="27">
        <f t="shared" si="8"/>
        <v>0</v>
      </c>
      <c r="AN14" s="35"/>
      <c r="AO14" s="37"/>
      <c r="AP14" s="37">
        <f>A27</f>
        <v>7</v>
      </c>
      <c r="AQ14" s="37">
        <f>A23</f>
        <v>6</v>
      </c>
      <c r="AR14" s="2" t="str">
        <f>IF(ISNA(MATCH(CONCATENATE(AP14,"-",AQ14),'sk A,B - Muži'!AR$1:'sk A,B - Muži'!AR$36,0)),  IF(ISNA(MATCH(CONCATENATE(AQ14,"-",AP14),'sk A,B - Muži'!AR$1:'sk A,B - Muži'!AR$36,0)),"",-1*MATCH(CONCATENATE(AQ14,"-",AP14),'sk A,B - Muži'!AR$1:'sk A,B - Muži'!AR$36,0) ),MATCH(CONCATENATE(AP14,"-",AQ14),'sk A,B - Muži'!AR$1:'sk A,B - Muži'!AR$36,0)       )</f>
        <v/>
      </c>
      <c r="AS14">
        <f>$A$21</f>
        <v>12</v>
      </c>
      <c r="AT14" s="123" t="e">
        <f t="shared" ca="1" si="9"/>
        <v>#NAME?</v>
      </c>
      <c r="AU14">
        <f t="shared" si="5"/>
        <v>34</v>
      </c>
      <c r="AV14">
        <f t="shared" si="6"/>
        <v>21</v>
      </c>
      <c r="AW14" s="123"/>
      <c r="AX14" s="120" cm="1">
        <f t="array" aca="1" ref="AX14" ca="1">SUMIF($AP$3:$AP$36,INDIRECT(ADDRESS(ROW(),1)),$AU$3:$AU$36) + SUMIF($AQ$3:$AQ$36,INDIRECT(ADDRESS(ROW(),1)),$AV$3:$AV$36)</f>
        <v>169</v>
      </c>
      <c r="AY14" s="120" cm="1">
        <f t="array" aca="1" ref="AY14" ca="1">SUMIF($AP$3:$AP$36,INDIRECT(ADDRESS(ROW(),1)),$AV$3:$AV$36) + SUMIF($AQ$3:$AQ$36,INDIRECT(ADDRESS(ROW(),1)),$AU$3:$AU$36)</f>
        <v>188</v>
      </c>
      <c r="AZ14" s="120">
        <f ca="1">IFERROR(AX14/AY14,"")</f>
        <v>0.89893617021276595</v>
      </c>
      <c r="BA14" t="str">
        <f>IF($A14&gt;0,IF(VLOOKUP($A14,seznam!$A$2:$C$197,2)&gt;0,VLOOKUP($A14,seznam!$A$2:$C$197,2),"------"),"------")</f>
        <v>Omelka Marek</v>
      </c>
    </row>
    <row r="15" spans="1:53" ht="13.5" thickBot="1">
      <c r="A15" s="196"/>
      <c r="B15"/>
      <c r="C15" s="174"/>
      <c r="D15" s="32" t="str">
        <f>IF(COUNTIF(seznam!$A$2:$A$25,A14)=1,VLOOKUP(A14,seznam!$A$2:$C$25,2,FALSE),"------")</f>
        <v>Omelka Marek</v>
      </c>
      <c r="E15" s="161"/>
      <c r="F15" s="155"/>
      <c r="G15" s="163"/>
      <c r="H15" s="158"/>
      <c r="I15" s="155"/>
      <c r="J15" s="163"/>
      <c r="K15" s="158"/>
      <c r="L15" s="155"/>
      <c r="M15" s="163"/>
      <c r="N15" s="158"/>
      <c r="O15" s="155"/>
      <c r="P15" s="181"/>
      <c r="Q15" s="158"/>
      <c r="R15" s="155"/>
      <c r="S15" s="163"/>
      <c r="T15" s="178"/>
      <c r="U15" s="179"/>
      <c r="V15" s="180"/>
      <c r="W15" s="181"/>
      <c r="X15" s="155"/>
      <c r="Y15" s="163"/>
      <c r="Z15" s="162"/>
      <c r="AA15" s="201"/>
      <c r="AB15" s="193"/>
      <c r="AC15" s="41" t="str">
        <f>D20</f>
        <v>Spěvák Šimon</v>
      </c>
      <c r="AD15" s="42"/>
      <c r="AE15" s="60" t="str">
        <f>D22</f>
        <v>Luhan Adam</v>
      </c>
      <c r="AF15" s="43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7</v>
      </c>
      <c r="AG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-11</v>
      </c>
      <c r="AH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-10</v>
      </c>
      <c r="AI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9</v>
      </c>
      <c r="AJ15" s="57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8</v>
      </c>
      <c r="AK15" s="97">
        <f t="shared" si="7"/>
        <v>3</v>
      </c>
      <c r="AL15" s="46" t="s">
        <v>6</v>
      </c>
      <c r="AM15" s="47">
        <f t="shared" si="8"/>
        <v>2</v>
      </c>
      <c r="AN15" s="35"/>
      <c r="AO15" s="37"/>
      <c r="AP15" s="37">
        <f>A19</f>
        <v>10</v>
      </c>
      <c r="AQ15" s="37">
        <f>A21</f>
        <v>12</v>
      </c>
      <c r="AR15" s="2">
        <f>IF(ISNA(MATCH(CONCATENATE(AP15,"-",AQ15),'sk A,B - Muži'!AR$1:'sk A,B - Muži'!AR$36,0)),  IF(ISNA(MATCH(CONCATENATE(AQ15,"-",AP15),'sk A,B - Muži'!AR$1:'sk A,B - Muži'!AR$36,0)),"",-1*MATCH(CONCATENATE(AQ15,"-",AP15),'sk A,B - Muži'!AR$1:'sk A,B - Muži'!AR$36,0) ),MATCH(CONCATENATE(AP15,"-",AQ15),'sk A,B - Muži'!AR$1:'sk A,B - Muži'!AR$36,0)       )</f>
        <v>17</v>
      </c>
      <c r="AS15">
        <f>$A$29</f>
        <v>9</v>
      </c>
      <c r="AT15" s="123" t="s">
        <v>122</v>
      </c>
      <c r="AU15">
        <f t="shared" si="5"/>
        <v>54</v>
      </c>
      <c r="AV15">
        <f t="shared" si="6"/>
        <v>49</v>
      </c>
      <c r="AW15" s="123"/>
      <c r="AX15" s="120"/>
      <c r="AY15" s="120"/>
      <c r="AZ15" s="120"/>
    </row>
    <row r="16" spans="1:53" ht="13.5" thickBot="1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37"/>
      <c r="AR16" s="2" t="str">
        <f>IF(ISNA(MATCH(CONCATENATE(AP16,"-",AQ16),'sk A,B - Muži'!AR$1:'sk A,B - Muži'!AR$36,0)),  IF(ISNA(MATCH(CONCATENATE(AQ16,"-",AP16),'sk A,B - Muži'!AR$1:'sk A,B - Muži'!AR$36,0)),"",-1*MATCH(CONCATENATE(AQ16,"-",AP16),'sk A,B - Muži'!AR$1:'sk A,B - Muži'!AR$36,0) ),MATCH(CONCATENATE(AP16,"-",AQ16),'sk A,B - Muži'!AR$1:'sk A,B - Muži'!AR$36,0)       )</f>
        <v/>
      </c>
      <c r="AS16"/>
      <c r="AT16" s="123"/>
      <c r="AU16"/>
      <c r="AV16"/>
      <c r="AW16" s="123"/>
      <c r="AX16" s="120"/>
      <c r="AY16" s="120"/>
      <c r="AZ16" s="120"/>
    </row>
    <row r="17" spans="1:53">
      <c r="C17" s="188" t="s">
        <v>40</v>
      </c>
      <c r="D17" s="189"/>
      <c r="E17" s="188">
        <v>1</v>
      </c>
      <c r="F17" s="166"/>
      <c r="G17" s="166"/>
      <c r="H17" s="169">
        <v>2</v>
      </c>
      <c r="I17" s="166"/>
      <c r="J17" s="166"/>
      <c r="K17" s="169">
        <v>3</v>
      </c>
      <c r="L17" s="166"/>
      <c r="M17" s="166"/>
      <c r="N17" s="169">
        <v>4</v>
      </c>
      <c r="O17" s="166"/>
      <c r="P17" s="166"/>
      <c r="Q17" s="169">
        <v>5</v>
      </c>
      <c r="R17" s="166"/>
      <c r="S17" s="166"/>
      <c r="T17" s="169">
        <v>6</v>
      </c>
      <c r="U17" s="166"/>
      <c r="V17" s="189"/>
      <c r="W17" s="165" t="s">
        <v>3</v>
      </c>
      <c r="X17" s="166"/>
      <c r="Y17" s="166"/>
      <c r="Z17" s="169"/>
      <c r="AA17" s="170"/>
      <c r="AC17" s="39" t="str">
        <f>D7</f>
        <v>Látal Jan</v>
      </c>
      <c r="AD17" s="51" t="s">
        <v>8</v>
      </c>
      <c r="AE17" s="5" t="str">
        <f>D15</f>
        <v>Omelka Marek</v>
      </c>
      <c r="AF17" s="20" t="s">
        <v>107</v>
      </c>
      <c r="AG17" s="21" t="s">
        <v>108</v>
      </c>
      <c r="AH17" s="21" t="s">
        <v>108</v>
      </c>
      <c r="AI17" s="21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J17" s="56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0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3</v>
      </c>
      <c r="AN17" s="9"/>
      <c r="AO17" s="37"/>
      <c r="AP17" s="3">
        <f>A6</f>
        <v>8</v>
      </c>
      <c r="AQ17" s="3">
        <f>A14</f>
        <v>5</v>
      </c>
      <c r="AR17" s="2" t="str">
        <f>IF(ISNA(MATCH(CONCATENATE(AP17,"-",AQ17),'sk A,B - Muži'!AR$1:'sk A,B - Muži'!AR$36,0)),  IF(ISNA(MATCH(CONCATENATE(AQ17,"-",AP17),'sk A,B - Muži'!AR$1:'sk A,B - Muži'!AR$36,0)),"",-1*MATCH(CONCATENATE(AQ17,"-",AP17),'sk A,B - Muži'!AR$1:'sk A,B - Muži'!AR$36,0) ),MATCH(CONCATENATE(AP17,"-",AQ17),'sk A,B - Muži'!AR$1:'sk A,B - Muži'!AR$36,0)       )</f>
        <v/>
      </c>
      <c r="AS17">
        <f>$A$10</f>
        <v>2</v>
      </c>
      <c r="AT17" s="123" t="e">
        <f t="shared" ref="AT17:AT22" ca="1" si="10">IF(AND(_xlfn.ISFORMULA(AF17),OR(LEN(AF17)&gt;0,LEN(AG17)&gt;0,LEN(AH17)&gt;0,LEN(AI17)&gt;0,LEN(AJ17)&gt;0)),"a","")</f>
        <v>#NAME?</v>
      </c>
      <c r="AU17">
        <f t="shared" ref="AU17:AU22" si="11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26</v>
      </c>
      <c r="AV17">
        <f t="shared" ref="AV17:AV22" si="12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34</v>
      </c>
      <c r="AW17" s="123"/>
      <c r="AX17" s="120"/>
      <c r="AY17" s="120"/>
      <c r="AZ17" s="120"/>
    </row>
    <row r="18" spans="1:53" ht="13.5" thickBot="1">
      <c r="A18"/>
      <c r="B18"/>
      <c r="C18" s="190"/>
      <c r="D18" s="171"/>
      <c r="E18" s="190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71"/>
      <c r="W18" s="167"/>
      <c r="X18" s="168"/>
      <c r="Y18" s="168"/>
      <c r="Z18" s="168"/>
      <c r="AA18" s="171"/>
      <c r="AC18" s="40" t="str">
        <f>D9</f>
        <v>Šimon Samuel</v>
      </c>
      <c r="AD18" s="7" t="s">
        <v>8</v>
      </c>
      <c r="AE18" s="82" t="str">
        <f>D5</f>
        <v>Voráč Pavel</v>
      </c>
      <c r="AF18" s="2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-5</v>
      </c>
      <c r="AG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-8</v>
      </c>
      <c r="AH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-6</v>
      </c>
      <c r="AI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/>
      </c>
      <c r="AJ18" s="5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/>
      </c>
      <c r="AK18" s="96">
        <f t="shared" ref="AK18:AK22" si="13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0</v>
      </c>
      <c r="AL18" s="13" t="s">
        <v>6</v>
      </c>
      <c r="AM18" s="27">
        <f t="shared" ref="AM18:AM22" si="14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3</v>
      </c>
      <c r="AQ18" s="37">
        <f>A4</f>
        <v>1</v>
      </c>
      <c r="AR18" s="2">
        <f>IF(ISNA(MATCH(CONCATENATE(AP18,"-",AQ18),'sk A,B - Muži'!AR$1:'sk A,B - Muži'!AR$36,0)),  IF(ISNA(MATCH(CONCATENATE(AQ18,"-",AP18),'sk A,B - Muži'!AR$1:'sk A,B - Muži'!AR$36,0)),"",-1*MATCH(CONCATENATE(AQ18,"-",AP18),'sk A,B - Muži'!AR$1:'sk A,B - Muži'!AR$36,0) ),MATCH(CONCATENATE(AP18,"-",AQ18),'sk A,B - Muži'!AR$1:'sk A,B - Muži'!AR$36,0)       )</f>
        <v>33</v>
      </c>
      <c r="AS18">
        <f>$A$12</f>
        <v>4</v>
      </c>
      <c r="AT18" s="123" t="s">
        <v>122</v>
      </c>
      <c r="AU18">
        <f t="shared" si="11"/>
        <v>19</v>
      </c>
      <c r="AV18">
        <f t="shared" si="12"/>
        <v>33</v>
      </c>
      <c r="AW18" s="123"/>
      <c r="AX18" s="120"/>
      <c r="AY18" s="120"/>
      <c r="AZ18" s="120"/>
    </row>
    <row r="19" spans="1:53">
      <c r="A19" s="195">
        <v>10</v>
      </c>
      <c r="B19" s="24"/>
      <c r="C19" s="139">
        <v>1</v>
      </c>
      <c r="D19" s="29" t="str">
        <f>IF(COUNTIF(seznam!$A$2:$A$25,A19)=1,VLOOKUP(A19,seznam!$A$2:$C$25,3,FALSE),"------")</f>
        <v>KST FOSFA LVA</v>
      </c>
      <c r="E19" s="140"/>
      <c r="F19" s="141"/>
      <c r="G19" s="142"/>
      <c r="H19" s="152">
        <f>AK15</f>
        <v>3</v>
      </c>
      <c r="I19" s="146" t="s">
        <v>6</v>
      </c>
      <c r="J19" s="153">
        <f>AM15</f>
        <v>2</v>
      </c>
      <c r="K19" s="152">
        <f>AM21</f>
        <v>3</v>
      </c>
      <c r="L19" s="146" t="s">
        <v>6</v>
      </c>
      <c r="M19" s="153">
        <f>AK21</f>
        <v>1</v>
      </c>
      <c r="N19" s="152">
        <f>AK28</f>
        <v>3</v>
      </c>
      <c r="O19" s="146" t="s">
        <v>6</v>
      </c>
      <c r="P19" s="146">
        <f>AM28</f>
        <v>1</v>
      </c>
      <c r="Q19" s="152">
        <f>AM36</f>
        <v>1</v>
      </c>
      <c r="R19" s="146" t="s">
        <v>6</v>
      </c>
      <c r="S19" s="153">
        <f>AK36</f>
        <v>3</v>
      </c>
      <c r="T19" s="152">
        <f>AK6</f>
        <v>0</v>
      </c>
      <c r="U19" s="146" t="s">
        <v>6</v>
      </c>
      <c r="V19" s="186">
        <f>AM6</f>
        <v>3</v>
      </c>
      <c r="W19" s="129">
        <f>H19+K19+N19+Q19+T19</f>
        <v>10</v>
      </c>
      <c r="X19" s="129" t="s">
        <v>6</v>
      </c>
      <c r="Y19" s="147">
        <f>J19+M19+P19+S19+V19</f>
        <v>10</v>
      </c>
      <c r="Z19" s="194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8</v>
      </c>
      <c r="AA19" s="199">
        <v>9</v>
      </c>
      <c r="AB19" s="192"/>
      <c r="AC19" s="40" t="str">
        <f>D11</f>
        <v>Peťura Patrik</v>
      </c>
      <c r="AD19" s="7" t="s">
        <v>8</v>
      </c>
      <c r="AE19" s="82" t="str">
        <f>D13</f>
        <v>Kmenta Josef</v>
      </c>
      <c r="AF19" s="2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-5</v>
      </c>
      <c r="AG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-7</v>
      </c>
      <c r="AH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-11</v>
      </c>
      <c r="AI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/>
      </c>
      <c r="AJ19" s="5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/>
      </c>
      <c r="AK19" s="96">
        <f t="shared" si="13"/>
        <v>0</v>
      </c>
      <c r="AL19" s="13" t="s">
        <v>6</v>
      </c>
      <c r="AM19" s="27">
        <f t="shared" si="14"/>
        <v>3</v>
      </c>
      <c r="AN19" s="35"/>
      <c r="AO19" s="37"/>
      <c r="AP19" s="37">
        <f>A10</f>
        <v>2</v>
      </c>
      <c r="AQ19" s="37">
        <f>A12</f>
        <v>4</v>
      </c>
      <c r="AR19" s="2">
        <f>IF(ISNA(MATCH(CONCATENATE(AP19,"-",AQ19),'sk A,B - Muži'!AR$1:'sk A,B - Muži'!AR$36,0)),  IF(ISNA(MATCH(CONCATENATE(AQ19,"-",AP19),'sk A,B - Muži'!AR$1:'sk A,B - Muži'!AR$36,0)),"",-1*MATCH(CONCATENATE(AQ19,"-",AP19),'sk A,B - Muži'!AR$1:'sk A,B - Muži'!AR$36,0) ),MATCH(CONCATENATE(AP19,"-",AQ19),'sk A,B - Muži'!AR$1:'sk A,B - Muži'!AR$36,0)       )</f>
        <v>-36</v>
      </c>
      <c r="AS19">
        <f>$A$6</f>
        <v>8</v>
      </c>
      <c r="AT19" s="123" t="s">
        <v>122</v>
      </c>
      <c r="AU19">
        <f t="shared" si="11"/>
        <v>23</v>
      </c>
      <c r="AV19">
        <f t="shared" si="12"/>
        <v>35</v>
      </c>
      <c r="AW19" s="123"/>
      <c r="AX19" s="120" cm="1">
        <f t="array" aca="1" ref="AX19" ca="1">SUMIF($AP$3:$AP$36,INDIRECT(ADDRESS(ROW(),1)),$AU$3:$AU$36) + SUMIF($AQ$3:$AQ$36,INDIRECT(ADDRESS(ROW(),1)),$AV$3:$AV$36)</f>
        <v>184</v>
      </c>
      <c r="AY19" s="120" cm="1">
        <f t="array" aca="1" ref="AY19" ca="1">SUMIF($AP$3:$AP$36,INDIRECT(ADDRESS(ROW(),1)),$AV$3:$AV$36) + SUMIF($AQ$3:$AQ$36,INDIRECT(ADDRESS(ROW(),1)),$AU$3:$AU$36)</f>
        <v>195</v>
      </c>
      <c r="AZ19" s="120">
        <f ca="1">IFERROR(AX19/AY19,"")</f>
        <v>0.94358974358974357</v>
      </c>
      <c r="BA19" t="str">
        <f>IF($A19&gt;0,IF(VLOOKUP($A19,seznam!$A$2:$C$197,2)&gt;0,VLOOKUP($A19,seznam!$A$2:$C$197,2),"------"),"------")</f>
        <v>Spěvák Šimon</v>
      </c>
    </row>
    <row r="20" spans="1:53">
      <c r="A20" s="196"/>
      <c r="B20"/>
      <c r="C20" s="134"/>
      <c r="D20" s="30" t="str">
        <f>IF(COUNTIF(seznam!$A$2:$A$25,A19)=1,VLOOKUP(A19,seznam!$A$2:$C$25,2,FALSE),"------")</f>
        <v>Spěvák Šimon</v>
      </c>
      <c r="E20" s="143"/>
      <c r="F20" s="144"/>
      <c r="G20" s="145"/>
      <c r="H20" s="151"/>
      <c r="I20" s="130"/>
      <c r="J20" s="138"/>
      <c r="K20" s="151"/>
      <c r="L20" s="130"/>
      <c r="M20" s="138"/>
      <c r="N20" s="151"/>
      <c r="O20" s="130"/>
      <c r="P20" s="148"/>
      <c r="Q20" s="151"/>
      <c r="R20" s="130"/>
      <c r="S20" s="138"/>
      <c r="T20" s="151"/>
      <c r="U20" s="130"/>
      <c r="V20" s="157"/>
      <c r="W20" s="148"/>
      <c r="X20" s="148"/>
      <c r="Y20" s="138"/>
      <c r="Z20" s="132"/>
      <c r="AA20" s="198"/>
      <c r="AB20" s="193"/>
      <c r="AC20" s="40" t="str">
        <f>D22</f>
        <v>Luhan Adam</v>
      </c>
      <c r="AD20" s="7"/>
      <c r="AE20" s="82" t="str">
        <f>D30</f>
        <v>Ides Samuel Hugo</v>
      </c>
      <c r="AF20" s="22" t="s">
        <v>119</v>
      </c>
      <c r="AG20" s="19" t="s">
        <v>119</v>
      </c>
      <c r="AH20" s="19" t="s">
        <v>104</v>
      </c>
      <c r="AI20" s="19" t="str">
        <f>IF(ISNUMBER($AR20),
      IF(SIGN($AR20)&gt;=0,
           IF( ISBLANK(INDEX('sk A,B - Muži'!$A$1:'sk A,B - Muži'!$AM$36,ABS($AR20),COLUMN())),"", INDEX('sk A,B - Muži'!$A$1:'sk A,B - Muži'!$AM$36,ABS($AR20),COLUMN())),
           IF(MID(INDEX('sk A,B - Muži'!$A$1:'sk A,B - Muži'!$AM$36,ABS($AR20),COLUMN()),1,1)="-",
                MID(INDEX('sk A,B - Muži'!$A$1:'sk A,B - Muži'!$AM$36,ABS($AR20),COLUMN()),2,5),
                IF( ISBLANK(INDEX('sk A,B - Muži'!$A$1:'sk A,B - Muži'!$AM$36,ABS($AR20),COLUMN())), "",   CONCATENATE("-",INDEX('sk A,B - Muži'!$A$1:'sk A,B - Muži'!$AM$36,ABS($AR20),COLUMN()))   )
               )
          ),
        ""
      )</f>
        <v/>
      </c>
      <c r="AJ20" s="52" t="str">
        <f>IF(ISNUMBER($AR20),
      IF(SIGN($AR20)&gt;=0,
           IF( ISBLANK(INDEX('sk A,B - Muži'!$A$1:'sk A,B - Muži'!$AM$36,ABS($AR20),COLUMN())),"", INDEX('sk A,B - Muži'!$A$1:'sk A,B - Muži'!$AM$36,ABS($AR20),COLUMN())),
           IF(MID(INDEX('sk A,B - Muži'!$A$1:'sk A,B - Muži'!$AM$36,ABS($AR20),COLUMN()),1,1)="-",
                MID(INDEX('sk A,B - Muži'!$A$1:'sk A,B - Muži'!$AM$36,ABS($AR20),COLUMN()),2,5),
                IF( ISBLANK(INDEX('sk A,B - Muži'!$A$1:'sk A,B - Muži'!$AM$36,ABS($AR20),COLUMN())), "",   CONCATENATE("-",INDEX('sk A,B - Muži'!$A$1:'sk A,B - Muži'!$AM$36,ABS($AR20),COLUMN()))   )
               )
          ),
        ""
      )</f>
        <v/>
      </c>
      <c r="AK20" s="96">
        <f t="shared" si="13"/>
        <v>0</v>
      </c>
      <c r="AL20" s="13" t="s">
        <v>6</v>
      </c>
      <c r="AM20" s="27">
        <f t="shared" si="14"/>
        <v>3</v>
      </c>
      <c r="AN20" s="35"/>
      <c r="AO20" s="37"/>
      <c r="AP20" s="37">
        <f>A21</f>
        <v>12</v>
      </c>
      <c r="AQ20" s="37">
        <f>A29</f>
        <v>9</v>
      </c>
      <c r="AR20" s="2" t="str">
        <f>IF(ISNA(MATCH(CONCATENATE(AP20,"-",AQ20),'sk A,B - Muži'!AR$1:'sk A,B - Muži'!AR$36,0)),  IF(ISNA(MATCH(CONCATENATE(AQ20,"-",AP20),'sk A,B - Muži'!AR$1:'sk A,B - Muži'!AR$36,0)),"",-1*MATCH(CONCATENATE(AQ20,"-",AP20),'sk A,B - Muži'!AR$1:'sk A,B - Muži'!AR$36,0) ),MATCH(CONCATENATE(AP20,"-",AQ20),'sk A,B - Muži'!AR$1:'sk A,B - Muži'!AR$36,0)       )</f>
        <v/>
      </c>
      <c r="AS20">
        <f>$A$25</f>
        <v>11</v>
      </c>
      <c r="AT20" s="123" t="e">
        <f t="shared" ca="1" si="10"/>
        <v>#NAME?</v>
      </c>
      <c r="AU20">
        <f t="shared" si="11"/>
        <v>18</v>
      </c>
      <c r="AV20">
        <f t="shared" si="12"/>
        <v>33</v>
      </c>
      <c r="AW20" s="123"/>
      <c r="AX20" s="120"/>
      <c r="AY20" s="120"/>
      <c r="AZ20" s="120"/>
    </row>
    <row r="21" spans="1:53">
      <c r="A21" s="195">
        <v>12</v>
      </c>
      <c r="B21" s="24"/>
      <c r="C21" s="139">
        <v>2</v>
      </c>
      <c r="D21" s="29" t="str">
        <f>IF(COUNTIF(seznam!$A$2:$A$25,A21)=1,VLOOKUP(A21,seznam!$A$2:$C$25,3,FALSE),"------")</f>
        <v>MSK Břeclav</v>
      </c>
      <c r="E21" s="149">
        <f>AM15</f>
        <v>2</v>
      </c>
      <c r="F21" s="129" t="s">
        <v>6</v>
      </c>
      <c r="G21" s="147">
        <f>AK15</f>
        <v>3</v>
      </c>
      <c r="H21" s="175"/>
      <c r="I21" s="176"/>
      <c r="J21" s="183"/>
      <c r="K21" s="150">
        <f>AK29</f>
        <v>1</v>
      </c>
      <c r="L21" s="129" t="s">
        <v>6</v>
      </c>
      <c r="M21" s="147">
        <f>AM29</f>
        <v>3</v>
      </c>
      <c r="N21" s="150">
        <f>AM35</f>
        <v>2</v>
      </c>
      <c r="O21" s="129" t="s">
        <v>6</v>
      </c>
      <c r="P21" s="129">
        <f>AK35</f>
        <v>3</v>
      </c>
      <c r="Q21" s="150">
        <f>AK7</f>
        <v>0</v>
      </c>
      <c r="R21" s="129" t="s">
        <v>6</v>
      </c>
      <c r="S21" s="147">
        <f>AM7</f>
        <v>3</v>
      </c>
      <c r="T21" s="150">
        <f>AK20</f>
        <v>0</v>
      </c>
      <c r="U21" s="129" t="s">
        <v>6</v>
      </c>
      <c r="V21" s="156">
        <f>AM20</f>
        <v>3</v>
      </c>
      <c r="W21" s="129">
        <f>E21+K21+N21+Q21+T21</f>
        <v>5</v>
      </c>
      <c r="X21" s="129" t="s">
        <v>6</v>
      </c>
      <c r="Y21" s="147">
        <f>G21+M21+P21+S21+V21</f>
        <v>15</v>
      </c>
      <c r="Z21" s="194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5</v>
      </c>
      <c r="AA21" s="199">
        <v>12</v>
      </c>
      <c r="AB21" s="192"/>
      <c r="AC21" s="40" t="str">
        <f>D24</f>
        <v>Tomeček Richard</v>
      </c>
      <c r="AD21" s="7"/>
      <c r="AE21" s="82" t="str">
        <f>D20</f>
        <v>Spěvák Šimon</v>
      </c>
      <c r="AF21" s="2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5</v>
      </c>
      <c r="AG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-10</v>
      </c>
      <c r="AH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-7</v>
      </c>
      <c r="AI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-6</v>
      </c>
      <c r="AJ21" s="5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/>
      </c>
      <c r="AK21" s="96">
        <f t="shared" si="13"/>
        <v>1</v>
      </c>
      <c r="AL21" s="13" t="s">
        <v>6</v>
      </c>
      <c r="AM21" s="27">
        <f t="shared" si="14"/>
        <v>3</v>
      </c>
      <c r="AN21" s="35"/>
      <c r="AO21" s="37"/>
      <c r="AP21" s="37">
        <f>A23</f>
        <v>6</v>
      </c>
      <c r="AQ21" s="37">
        <f>A19</f>
        <v>10</v>
      </c>
      <c r="AR21" s="2">
        <f>IF(ISNA(MATCH(CONCATENATE(AP21,"-",AQ21),'sk A,B - Muži'!AR$1:'sk A,B - Muži'!AR$36,0)),  IF(ISNA(MATCH(CONCATENATE(AQ21,"-",AP21),'sk A,B - Muži'!AR$1:'sk A,B - Muži'!AR$36,0)),"",-1*MATCH(CONCATENATE(AQ21,"-",AP21),'sk A,B - Muži'!AR$1:'sk A,B - Muži'!AR$36,0) ),MATCH(CONCATENATE(AP21,"-",AQ21),'sk A,B - Muži'!AR$1:'sk A,B - Muži'!AR$36,0)       )</f>
        <v>32</v>
      </c>
      <c r="AS21">
        <f>$A$27</f>
        <v>7</v>
      </c>
      <c r="AT21" s="123" t="s">
        <v>122</v>
      </c>
      <c r="AU21">
        <f t="shared" si="11"/>
        <v>34</v>
      </c>
      <c r="AV21">
        <f t="shared" si="12"/>
        <v>39</v>
      </c>
      <c r="AW21" s="123"/>
      <c r="AX21" s="120" cm="1">
        <f t="array" aca="1" ref="AX21" ca="1">SUMIF($AP$3:$AP$36,INDIRECT(ADDRESS(ROW(),1)),$AU$3:$AU$36) + SUMIF($AQ$3:$AQ$36,INDIRECT(ADDRESS(ROW(),1)),$AV$3:$AV$36)</f>
        <v>169</v>
      </c>
      <c r="AY21" s="120" cm="1">
        <f t="array" aca="1" ref="AY21" ca="1">SUMIF($AP$3:$AP$36,INDIRECT(ADDRESS(ROW(),1)),$AV$3:$AV$36) + SUMIF($AQ$3:$AQ$36,INDIRECT(ADDRESS(ROW(),1)),$AU$3:$AU$36)</f>
        <v>215</v>
      </c>
      <c r="AZ21" s="120">
        <f ca="1">IFERROR(AX21/AY21,"")</f>
        <v>0.78604651162790695</v>
      </c>
      <c r="BA21" t="str">
        <f>IF($A21&gt;0,IF(VLOOKUP($A21,seznam!$A$2:$C$197,2)&gt;0,VLOOKUP($A21,seznam!$A$2:$C$197,2),"------"),"------")</f>
        <v>Luhan Adam</v>
      </c>
    </row>
    <row r="22" spans="1:53" ht="13.5" thickBot="1">
      <c r="A22" s="196"/>
      <c r="B22"/>
      <c r="C22" s="134"/>
      <c r="D22" s="30" t="str">
        <f>IF(COUNTIF(seznam!$A$2:$A$25,A21)=1,VLOOKUP(A21,seznam!$A$2:$C$25,2,FALSE),"------")</f>
        <v>Luhan Adam</v>
      </c>
      <c r="E22" s="136"/>
      <c r="F22" s="130"/>
      <c r="G22" s="138"/>
      <c r="H22" s="184"/>
      <c r="I22" s="144"/>
      <c r="J22" s="145"/>
      <c r="K22" s="151"/>
      <c r="L22" s="130"/>
      <c r="M22" s="138"/>
      <c r="N22" s="151"/>
      <c r="O22" s="130"/>
      <c r="P22" s="148"/>
      <c r="Q22" s="151"/>
      <c r="R22" s="130"/>
      <c r="S22" s="138"/>
      <c r="T22" s="151"/>
      <c r="U22" s="130"/>
      <c r="V22" s="157"/>
      <c r="W22" s="148"/>
      <c r="X22" s="130"/>
      <c r="Y22" s="138"/>
      <c r="Z22" s="132"/>
      <c r="AA22" s="198"/>
      <c r="AB22" s="193"/>
      <c r="AC22" s="41" t="str">
        <f>D26</f>
        <v>Plotzer Robin</v>
      </c>
      <c r="AD22" s="42"/>
      <c r="AE22" s="60" t="str">
        <f>D28</f>
        <v>Pantlík Daniel</v>
      </c>
      <c r="AF22" s="43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-2</v>
      </c>
      <c r="AG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-8</v>
      </c>
      <c r="AH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-9</v>
      </c>
      <c r="AI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/>
      </c>
      <c r="AJ22" s="57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/>
      </c>
      <c r="AK22" s="97">
        <f t="shared" si="13"/>
        <v>0</v>
      </c>
      <c r="AL22" s="46" t="s">
        <v>6</v>
      </c>
      <c r="AM22" s="47">
        <f t="shared" si="14"/>
        <v>3</v>
      </c>
      <c r="AN22" s="9"/>
      <c r="AO22" s="37"/>
      <c r="AP22" s="3">
        <f>A25</f>
        <v>11</v>
      </c>
      <c r="AQ22" s="3">
        <f>A27</f>
        <v>7</v>
      </c>
      <c r="AR22" s="2">
        <f>IF(ISNA(MATCH(CONCATENATE(AP22,"-",AQ22),'sk A,B - Muži'!AR$1:'sk A,B - Muži'!AR$36,0)),  IF(ISNA(MATCH(CONCATENATE(AQ22,"-",AP22),'sk A,B - Muži'!AR$1:'sk A,B - Muži'!AR$36,0)),"",-1*MATCH(CONCATENATE(AQ22,"-",AP22),'sk A,B - Muži'!AR$1:'sk A,B - Muži'!AR$36,0) ),MATCH(CONCATENATE(AP22,"-",AQ22),'sk A,B - Muži'!AR$1:'sk A,B - Muži'!AR$36,0)       )</f>
        <v>-34</v>
      </c>
      <c r="AS22">
        <f>$A$21</f>
        <v>12</v>
      </c>
      <c r="AT22" s="123" t="s">
        <v>122</v>
      </c>
      <c r="AU22">
        <f t="shared" si="11"/>
        <v>19</v>
      </c>
      <c r="AV22">
        <f t="shared" si="12"/>
        <v>33</v>
      </c>
      <c r="AW22" s="123"/>
      <c r="AX22" s="120"/>
      <c r="AY22" s="120"/>
      <c r="AZ22" s="120"/>
    </row>
    <row r="23" spans="1:53" ht="13.5" thickBot="1">
      <c r="A23" s="195">
        <v>6</v>
      </c>
      <c r="B23" s="24"/>
      <c r="C23" s="139">
        <v>3</v>
      </c>
      <c r="D23" s="29" t="str">
        <f>IF(COUNTIF(seznam!$A$2:$A$25,A23)=1,VLOOKUP(A23,seznam!$A$2:$C$25,3,FALSE),"------")</f>
        <v>Jiskra Strážnice</v>
      </c>
      <c r="E23" s="149">
        <f>AK21</f>
        <v>1</v>
      </c>
      <c r="F23" s="129" t="s">
        <v>6</v>
      </c>
      <c r="G23" s="147">
        <f>AM21</f>
        <v>3</v>
      </c>
      <c r="H23" s="150">
        <f>AM29</f>
        <v>3</v>
      </c>
      <c r="I23" s="129" t="s">
        <v>6</v>
      </c>
      <c r="J23" s="147">
        <f>AK29</f>
        <v>1</v>
      </c>
      <c r="K23" s="175"/>
      <c r="L23" s="176"/>
      <c r="M23" s="183"/>
      <c r="N23" s="150">
        <f>AK8</f>
        <v>3</v>
      </c>
      <c r="O23" s="129" t="s">
        <v>6</v>
      </c>
      <c r="P23" s="129">
        <f>AM8</f>
        <v>2</v>
      </c>
      <c r="Q23" s="150">
        <f>AM14</f>
        <v>0</v>
      </c>
      <c r="R23" s="129" t="s">
        <v>6</v>
      </c>
      <c r="S23" s="147">
        <f>AK14</f>
        <v>3</v>
      </c>
      <c r="T23" s="150">
        <f>AK34</f>
        <v>2</v>
      </c>
      <c r="U23" s="129" t="s">
        <v>6</v>
      </c>
      <c r="V23" s="156">
        <f>AM34</f>
        <v>3</v>
      </c>
      <c r="W23" s="129">
        <f>H23+E23+N23+Q23+T23</f>
        <v>9</v>
      </c>
      <c r="X23" s="129" t="s">
        <v>6</v>
      </c>
      <c r="Y23" s="147">
        <f>J23+G23+P23+S23+V23</f>
        <v>12</v>
      </c>
      <c r="Z23" s="194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99">
        <v>10</v>
      </c>
      <c r="AB23" s="192"/>
      <c r="AC23" s="4" t="s">
        <v>13</v>
      </c>
      <c r="AK23" s="98"/>
      <c r="AL23" s="9"/>
      <c r="AM23" s="9"/>
      <c r="AN23" s="35"/>
      <c r="AO23" s="37"/>
      <c r="AP23" s="37"/>
      <c r="AQ23" s="37"/>
      <c r="AR23" s="2" t="str">
        <f>IF(ISNA(MATCH(CONCATENATE(AP23,"-",AQ23),'sk A,B - Muži'!AR$1:'sk A,B - Muži'!AR$36,0)),  IF(ISNA(MATCH(CONCATENATE(AQ23,"-",AP23),'sk A,B - Muži'!AR$1:'sk A,B - Muži'!AR$36,0)),"",-1*MATCH(CONCATENATE(AQ23,"-",AP23),'sk A,B - Muži'!AR$1:'sk A,B - Muži'!AR$36,0) ),MATCH(CONCATENATE(AP23,"-",AQ23),'sk A,B - Muži'!AR$1:'sk A,B - Muži'!AR$36,0)       )</f>
        <v/>
      </c>
      <c r="AS23"/>
      <c r="AT23" s="123"/>
      <c r="AU23"/>
      <c r="AV23"/>
      <c r="AW23" s="123"/>
      <c r="AX23" s="120" cm="1">
        <f t="array" aca="1" ref="AX23" ca="1">SUMIF($AP$3:$AP$36,INDIRECT(ADDRESS(ROW(),1)),$AU$3:$AU$36) + SUMIF($AQ$3:$AQ$36,INDIRECT(ADDRESS(ROW(),1)),$AV$3:$AV$36)</f>
        <v>194</v>
      </c>
      <c r="AY23" s="120" cm="1">
        <f t="array" aca="1" ref="AY23" ca="1">SUMIF($AP$3:$AP$36,INDIRECT(ADDRESS(ROW(),1)),$AV$3:$AV$36) + SUMIF($AQ$3:$AQ$36,INDIRECT(ADDRESS(ROW(),1)),$AU$3:$AU$36)</f>
        <v>198</v>
      </c>
      <c r="AZ23" s="120">
        <f ca="1">IFERROR(AX23/AY23,"")</f>
        <v>0.97979797979797978</v>
      </c>
      <c r="BA23" t="str">
        <f>IF($A23&gt;0,IF(VLOOKUP($A23,seznam!$A$2:$C$197,2)&gt;0,VLOOKUP($A23,seznam!$A$2:$C$197,2),"------"),"------")</f>
        <v>Tomeček Richard</v>
      </c>
    </row>
    <row r="24" spans="1:53">
      <c r="A24" s="196"/>
      <c r="B24"/>
      <c r="C24" s="134"/>
      <c r="D24" s="30" t="str">
        <f>IF(COUNTIF(seznam!$A$2:$A$25,A23)=1,VLOOKUP(A23,seznam!$A$2:$C$25,2,FALSE),"------")</f>
        <v>Tomeček Richard</v>
      </c>
      <c r="E24" s="136"/>
      <c r="F24" s="130"/>
      <c r="G24" s="138"/>
      <c r="H24" s="151"/>
      <c r="I24" s="130"/>
      <c r="J24" s="138"/>
      <c r="K24" s="184"/>
      <c r="L24" s="144"/>
      <c r="M24" s="145"/>
      <c r="N24" s="151"/>
      <c r="O24" s="130"/>
      <c r="P24" s="148"/>
      <c r="Q24" s="151"/>
      <c r="R24" s="130"/>
      <c r="S24" s="138"/>
      <c r="T24" s="151"/>
      <c r="U24" s="130"/>
      <c r="V24" s="157"/>
      <c r="W24" s="148"/>
      <c r="X24" s="148"/>
      <c r="Y24" s="138"/>
      <c r="Z24" s="132"/>
      <c r="AA24" s="198"/>
      <c r="AB24" s="193"/>
      <c r="AC24" s="39" t="str">
        <f>D15</f>
        <v>Omelka Marek</v>
      </c>
      <c r="AD24" s="51" t="s">
        <v>8</v>
      </c>
      <c r="AE24" s="53" t="str">
        <f>D13</f>
        <v>Kmenta Josef</v>
      </c>
      <c r="AF24" s="20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-4</v>
      </c>
      <c r="AG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-5</v>
      </c>
      <c r="AH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-12</v>
      </c>
      <c r="AI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J24" s="56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5</v>
      </c>
      <c r="AQ24" s="37">
        <f>A12</f>
        <v>4</v>
      </c>
      <c r="AR24" s="2">
        <f>IF(ISNA(MATCH(CONCATENATE(AP24,"-",AQ24),'sk A,B - Muži'!AR$1:'sk A,B - Muži'!AR$36,0)),  IF(ISNA(MATCH(CONCATENATE(AQ24,"-",AP24),'sk A,B - Muži'!AR$1:'sk A,B - Muži'!AR$36,0)),"",-1*MATCH(CONCATENATE(AQ24,"-",AP24),'sk A,B - Muži'!AR$1:'sk A,B - Muži'!AR$36,0) ),MATCH(CONCATENATE(AP24,"-",AQ24),'sk A,B - Muži'!AR$1:'sk A,B - Muži'!AR$36,0)       )</f>
        <v>22</v>
      </c>
      <c r="AS24">
        <f>$A$8</f>
        <v>3</v>
      </c>
      <c r="AT24" s="123" t="s">
        <v>122</v>
      </c>
      <c r="AU24">
        <f t="shared" ref="AU24:AU29" si="15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21</v>
      </c>
      <c r="AV24">
        <f t="shared" ref="AV24:AV29" si="16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36</v>
      </c>
      <c r="AW24" s="123"/>
      <c r="AX24" s="120"/>
      <c r="AY24" s="120"/>
      <c r="AZ24" s="120"/>
    </row>
    <row r="25" spans="1:53">
      <c r="A25" s="195">
        <v>11</v>
      </c>
      <c r="B25" s="24"/>
      <c r="C25" s="139">
        <v>4</v>
      </c>
      <c r="D25" s="29" t="str">
        <f>IF(COUNTIF(seznam!$A$2:$A$25,A25)=1,VLOOKUP(A25,seznam!$A$2:$C$25,3,FALSE),"------")</f>
        <v>MK Řeznovice</v>
      </c>
      <c r="E25" s="149">
        <f>AM28</f>
        <v>1</v>
      </c>
      <c r="F25" s="129" t="s">
        <v>6</v>
      </c>
      <c r="G25" s="147">
        <f>AK28</f>
        <v>3</v>
      </c>
      <c r="H25" s="150">
        <f>AK35</f>
        <v>3</v>
      </c>
      <c r="I25" s="129" t="s">
        <v>6</v>
      </c>
      <c r="J25" s="147">
        <f>AM35</f>
        <v>2</v>
      </c>
      <c r="K25" s="150">
        <f>AM8</f>
        <v>2</v>
      </c>
      <c r="L25" s="129" t="s">
        <v>6</v>
      </c>
      <c r="M25" s="147">
        <f>AK8</f>
        <v>3</v>
      </c>
      <c r="N25" s="175"/>
      <c r="O25" s="176"/>
      <c r="P25" s="176"/>
      <c r="Q25" s="150">
        <f>AK22</f>
        <v>0</v>
      </c>
      <c r="R25" s="129" t="s">
        <v>6</v>
      </c>
      <c r="S25" s="147">
        <f>AM22</f>
        <v>3</v>
      </c>
      <c r="T25" s="150">
        <f>AM13</f>
        <v>3</v>
      </c>
      <c r="U25" s="129" t="s">
        <v>6</v>
      </c>
      <c r="V25" s="156">
        <f>AK13</f>
        <v>2</v>
      </c>
      <c r="W25" s="129">
        <f>H25+K25+E25+Q25+T25</f>
        <v>9</v>
      </c>
      <c r="X25" s="129" t="s">
        <v>6</v>
      </c>
      <c r="Y25" s="147">
        <f>J25+M25+G25+S25+V25</f>
        <v>13</v>
      </c>
      <c r="Z25" s="194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7</v>
      </c>
      <c r="AA25" s="199">
        <v>11</v>
      </c>
      <c r="AB25" s="192"/>
      <c r="AC25" s="40" t="str">
        <f>D5</f>
        <v>Voráč Pavel</v>
      </c>
      <c r="AD25" s="7" t="s">
        <v>8</v>
      </c>
      <c r="AE25" s="54" t="str">
        <f>D11</f>
        <v>Peťura Patrik</v>
      </c>
      <c r="AF25" s="22" t="s">
        <v>99</v>
      </c>
      <c r="AG25" s="19" t="s">
        <v>101</v>
      </c>
      <c r="AH25" s="19" t="s">
        <v>113</v>
      </c>
      <c r="AI25" s="19" t="s">
        <v>103</v>
      </c>
      <c r="AJ25" s="52" t="str">
        <f>IF(ISNUMBER($AR25),
      IF(SIGN($AR25)&gt;=0,
           IF( ISBLANK(INDEX('sk A,B - Muži'!$A$1:'sk A,B - Muži'!$AM$36,ABS($AR25),COLUMN())),"", INDEX('sk A,B - Muži'!$A$1:'sk A,B - Muži'!$AM$36,ABS($AR25),COLUMN())),
           IF(MID(INDEX('sk A,B - Muži'!$A$1:'sk A,B - Muži'!$AM$36,ABS($AR25),COLUMN()),1,1)="-",
                MID(INDEX('sk A,B - Muži'!$A$1:'sk A,B - Muži'!$AM$36,ABS($AR25),COLUMN()),2,5),
                IF( ISBLANK(INDEX('sk A,B - Muži'!$A$1:'sk A,B - Muži'!$AM$36,ABS($AR25),COLUMN())), "",   CONCATENATE("-",INDEX('sk A,B - Muži'!$A$1:'sk A,B - Muži'!$AM$36,ABS($AR25),COLUMN()))   )
               )
          ),
        ""
      )</f>
        <v/>
      </c>
      <c r="AK25" s="96">
        <f t="shared" ref="AK25:AK29" si="17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3</v>
      </c>
      <c r="AL25" s="13" t="s">
        <v>6</v>
      </c>
      <c r="AM25" s="27">
        <f t="shared" ref="AM25:AM29" si="18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1</v>
      </c>
      <c r="AN25" s="35"/>
      <c r="AO25" s="37"/>
      <c r="AP25" s="37">
        <f>A4</f>
        <v>1</v>
      </c>
      <c r="AQ25" s="37">
        <f>A10</f>
        <v>2</v>
      </c>
      <c r="AR25" s="2" t="str">
        <f>IF(ISNA(MATCH(CONCATENATE(AP25,"-",AQ25),'sk A,B - Muži'!AR$1:'sk A,B - Muži'!AR$36,0)),  IF(ISNA(MATCH(CONCATENATE(AQ25,"-",AP25),'sk A,B - Muži'!AR$1:'sk A,B - Muži'!AR$36,0)),"",-1*MATCH(CONCATENATE(AQ25,"-",AP25),'sk A,B - Muži'!AR$1:'sk A,B - Muži'!AR$36,0) ),MATCH(CONCATENATE(AP25,"-",AQ25),'sk A,B - Muži'!AR$1:'sk A,B - Muži'!AR$36,0)       )</f>
        <v/>
      </c>
      <c r="AS25">
        <f>$A$14</f>
        <v>5</v>
      </c>
      <c r="AT25" s="123" t="e">
        <f t="shared" ref="AT24:AT29" ca="1" si="19">IF(AND(_xlfn.ISFORMULA(AF25),OR(LEN(AF25)&gt;0,LEN(AG25)&gt;0,LEN(AH25)&gt;0,LEN(AI25)&gt;0,LEN(AJ25)&gt;0)),"a","")</f>
        <v>#NAME?</v>
      </c>
      <c r="AU25">
        <f t="shared" si="15"/>
        <v>39</v>
      </c>
      <c r="AV25">
        <f t="shared" si="16"/>
        <v>30</v>
      </c>
      <c r="AW25" s="123"/>
      <c r="AX25" s="120" cm="1">
        <f t="array" aca="1" ref="AX25" ca="1">SUMIF($AP$3:$AP$36,INDIRECT(ADDRESS(ROW(),1)),$AU$3:$AU$36) + SUMIF($AQ$3:$AQ$36,INDIRECT(ADDRESS(ROW(),1)),$AV$3:$AV$36)</f>
        <v>196</v>
      </c>
      <c r="AY25" s="120" cm="1">
        <f t="array" aca="1" ref="AY25" ca="1">SUMIF($AP$3:$AP$36,INDIRECT(ADDRESS(ROW(),1)),$AV$3:$AV$36) + SUMIF($AQ$3:$AQ$36,INDIRECT(ADDRESS(ROW(),1)),$AU$3:$AU$36)</f>
        <v>221</v>
      </c>
      <c r="AZ25" s="120">
        <f ca="1">IFERROR(AX25/AY25,"")</f>
        <v>0.8868778280542986</v>
      </c>
      <c r="BA25" t="str">
        <f>IF($A25&gt;0,IF(VLOOKUP($A25,seznam!$A$2:$C$197,2)&gt;0,VLOOKUP($A25,seznam!$A$2:$C$197,2),"------"),"------")</f>
        <v>Plotzer Robin</v>
      </c>
    </row>
    <row r="26" spans="1:53">
      <c r="A26" s="196"/>
      <c r="B26"/>
      <c r="C26" s="134"/>
      <c r="D26" s="30" t="str">
        <f>IF(COUNTIF(seznam!$A$2:$A$25,A25)=1,VLOOKUP(A25,seznam!$A$2:$C$25,2,FALSE),"------")</f>
        <v>Plotzer Robin</v>
      </c>
      <c r="E26" s="136"/>
      <c r="F26" s="130"/>
      <c r="G26" s="138"/>
      <c r="H26" s="151"/>
      <c r="I26" s="130"/>
      <c r="J26" s="138"/>
      <c r="K26" s="151"/>
      <c r="L26" s="130"/>
      <c r="M26" s="138"/>
      <c r="N26" s="184"/>
      <c r="O26" s="144"/>
      <c r="P26" s="144"/>
      <c r="Q26" s="151"/>
      <c r="R26" s="130"/>
      <c r="S26" s="138"/>
      <c r="T26" s="151"/>
      <c r="U26" s="130"/>
      <c r="V26" s="157"/>
      <c r="W26" s="148"/>
      <c r="X26" s="148"/>
      <c r="Y26" s="138"/>
      <c r="Z26" s="132"/>
      <c r="AA26" s="198"/>
      <c r="AB26" s="193"/>
      <c r="AC26" s="40" t="str">
        <f>D7</f>
        <v>Látal Jan</v>
      </c>
      <c r="AD26" s="7" t="s">
        <v>8</v>
      </c>
      <c r="AE26" s="54" t="str">
        <f>D9</f>
        <v>Šimon Samuel</v>
      </c>
      <c r="AF26" s="2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-6</v>
      </c>
      <c r="AG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-6</v>
      </c>
      <c r="AH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10</v>
      </c>
      <c r="AI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-7</v>
      </c>
      <c r="AJ26" s="5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/>
      </c>
      <c r="AK26" s="96">
        <f t="shared" si="17"/>
        <v>1</v>
      </c>
      <c r="AL26" s="13" t="s">
        <v>6</v>
      </c>
      <c r="AM26" s="27">
        <f t="shared" si="18"/>
        <v>3</v>
      </c>
      <c r="AN26" s="35"/>
      <c r="AO26" s="37"/>
      <c r="AP26" s="37">
        <f>A6</f>
        <v>8</v>
      </c>
      <c r="AQ26" s="37">
        <f>A8</f>
        <v>3</v>
      </c>
      <c r="AR26" s="2">
        <f>IF(ISNA(MATCH(CONCATENATE(AP26,"-",AQ26),'sk A,B - Muži'!AR$1:'sk A,B - Muži'!AR$36,0)),  IF(ISNA(MATCH(CONCATENATE(AQ26,"-",AP26),'sk A,B - Muži'!AR$1:'sk A,B - Muži'!AR$36,0)),"",-1*MATCH(CONCATENATE(AQ26,"-",AP26),'sk A,B - Muži'!AR$1:'sk A,B - Muži'!AR$36,0) ),MATCH(CONCATENATE(AP26,"-",AQ26),'sk A,B - Muži'!AR$1:'sk A,B - Muži'!AR$36,0)       )</f>
        <v>-11</v>
      </c>
      <c r="AS26">
        <f>$A$4</f>
        <v>1</v>
      </c>
      <c r="AT26" s="123" t="s">
        <v>122</v>
      </c>
      <c r="AU26">
        <f t="shared" si="15"/>
        <v>31</v>
      </c>
      <c r="AV26">
        <f t="shared" si="16"/>
        <v>43</v>
      </c>
      <c r="AW26" s="123"/>
      <c r="AX26" s="120"/>
      <c r="AY26" s="120"/>
      <c r="AZ26" s="120"/>
    </row>
    <row r="27" spans="1:53">
      <c r="A27" s="195">
        <v>7</v>
      </c>
      <c r="B27" s="24"/>
      <c r="C27" s="139">
        <v>5</v>
      </c>
      <c r="D27" s="29" t="str">
        <f>IF(COUNTIF(seznam!$A$2:$A$25,A27)=1,VLOOKUP(A27,seznam!$A$2:$C$25,3,FALSE),"------")</f>
        <v>MK Řeznovice</v>
      </c>
      <c r="E27" s="149">
        <f>AK36</f>
        <v>3</v>
      </c>
      <c r="F27" s="129" t="s">
        <v>6</v>
      </c>
      <c r="G27" s="147">
        <f>AM36</f>
        <v>1</v>
      </c>
      <c r="H27" s="150">
        <f>AM7</f>
        <v>3</v>
      </c>
      <c r="I27" s="129" t="s">
        <v>6</v>
      </c>
      <c r="J27" s="147">
        <f>AK7</f>
        <v>0</v>
      </c>
      <c r="K27" s="150">
        <f>AK14</f>
        <v>3</v>
      </c>
      <c r="L27" s="129" t="s">
        <v>6</v>
      </c>
      <c r="M27" s="147">
        <f>AM14</f>
        <v>0</v>
      </c>
      <c r="N27" s="150">
        <f>AM22</f>
        <v>3</v>
      </c>
      <c r="O27" s="129" t="s">
        <v>6</v>
      </c>
      <c r="P27" s="129">
        <f>AK22</f>
        <v>0</v>
      </c>
      <c r="Q27" s="175"/>
      <c r="R27" s="176"/>
      <c r="S27" s="183"/>
      <c r="T27" s="150">
        <f>AM27</f>
        <v>3</v>
      </c>
      <c r="U27" s="129" t="s">
        <v>6</v>
      </c>
      <c r="V27" s="156">
        <f>AK27</f>
        <v>0</v>
      </c>
      <c r="W27" s="129">
        <f>H27+K27+N27+E27+T27</f>
        <v>15</v>
      </c>
      <c r="X27" s="129" t="s">
        <v>6</v>
      </c>
      <c r="Y27" s="147">
        <f>J27+M27+P27+G27+V27</f>
        <v>1</v>
      </c>
      <c r="Z27" s="194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10</v>
      </c>
      <c r="AA27" s="199">
        <v>7</v>
      </c>
      <c r="AB27" s="192"/>
      <c r="AC27" s="40" t="str">
        <f>D30</f>
        <v>Ides Samuel Hugo</v>
      </c>
      <c r="AD27" s="7"/>
      <c r="AE27" s="54" t="str">
        <f>D28</f>
        <v>Pantlík Daniel</v>
      </c>
      <c r="AF27" s="2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-9</v>
      </c>
      <c r="AG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-9</v>
      </c>
      <c r="AH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-4</v>
      </c>
      <c r="AI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J27" s="5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K27" s="96">
        <f t="shared" si="17"/>
        <v>0</v>
      </c>
      <c r="AL27" s="13" t="s">
        <v>6</v>
      </c>
      <c r="AM27" s="27">
        <f t="shared" si="18"/>
        <v>3</v>
      </c>
      <c r="AN27" s="9"/>
      <c r="AO27" s="37"/>
      <c r="AP27" s="3">
        <f>A29</f>
        <v>9</v>
      </c>
      <c r="AQ27" s="3">
        <f>A27</f>
        <v>7</v>
      </c>
      <c r="AR27" s="2">
        <f>IF(ISNA(MATCH(CONCATENATE(AP27,"-",AQ27),'sk A,B - Muži'!AR$1:'sk A,B - Muži'!AR$36,0)),  IF(ISNA(MATCH(CONCATENATE(AQ27,"-",AP27),'sk A,B - Muži'!AR$1:'sk A,B - Muži'!AR$36,0)),"",-1*MATCH(CONCATENATE(AQ27,"-",AP27),'sk A,B - Muži'!AR$1:'sk A,B - Muži'!AR$36,0) ),MATCH(CONCATENATE(AP27,"-",AQ27),'sk A,B - Muži'!AR$1:'sk A,B - Muži'!AR$36,0)       )</f>
        <v>29</v>
      </c>
      <c r="AS27">
        <f>$A$23</f>
        <v>6</v>
      </c>
      <c r="AT27" s="123" t="s">
        <v>122</v>
      </c>
      <c r="AU27">
        <f t="shared" si="15"/>
        <v>22</v>
      </c>
      <c r="AV27">
        <f t="shared" si="16"/>
        <v>33</v>
      </c>
      <c r="AW27" s="123"/>
      <c r="AX27" s="120" cm="1">
        <f t="array" aca="1" ref="AX27" ca="1">SUMIF($AP$3:$AP$36,INDIRECT(ADDRESS(ROW(),1)),$AU$3:$AU$36) + SUMIF($AQ$3:$AQ$36,INDIRECT(ADDRESS(ROW(),1)),$AV$3:$AV$36)</f>
        <v>171</v>
      </c>
      <c r="AY27" s="120" cm="1">
        <f t="array" aca="1" ref="AY27" ca="1">SUMIF($AP$3:$AP$36,INDIRECT(ADDRESS(ROW(),1)),$AV$3:$AV$36) + SUMIF($AQ$3:$AQ$36,INDIRECT(ADDRESS(ROW(),1)),$AU$3:$AU$36)</f>
        <v>113</v>
      </c>
      <c r="AZ27" s="120">
        <f ca="1">IFERROR(AX27/AY27,"")</f>
        <v>1.5132743362831858</v>
      </c>
      <c r="BA27" t="str">
        <f>IF($A27&gt;0,IF(VLOOKUP($A27,seznam!$A$2:$C$197,2)&gt;0,VLOOKUP($A27,seznam!$A$2:$C$197,2),"------"),"------")</f>
        <v>Pantlík Daniel</v>
      </c>
    </row>
    <row r="28" spans="1:53">
      <c r="A28" s="196"/>
      <c r="B28"/>
      <c r="C28" s="134"/>
      <c r="D28" s="30" t="str">
        <f>IF(COUNTIF(seznam!$A$2:$A$25,A27)=1,VLOOKUP(A27,seznam!$A$2:$C$25,2,FALSE),"------")</f>
        <v>Pantlík Daniel</v>
      </c>
      <c r="E28" s="136"/>
      <c r="F28" s="130"/>
      <c r="G28" s="138"/>
      <c r="H28" s="151"/>
      <c r="I28" s="130"/>
      <c r="J28" s="138"/>
      <c r="K28" s="151"/>
      <c r="L28" s="130"/>
      <c r="M28" s="138"/>
      <c r="N28" s="151"/>
      <c r="O28" s="130"/>
      <c r="P28" s="148"/>
      <c r="Q28" s="184"/>
      <c r="R28" s="144"/>
      <c r="S28" s="145"/>
      <c r="T28" s="151"/>
      <c r="U28" s="130"/>
      <c r="V28" s="182"/>
      <c r="W28" s="148"/>
      <c r="X28" s="148"/>
      <c r="Y28" s="138"/>
      <c r="Z28" s="132"/>
      <c r="AA28" s="200"/>
      <c r="AB28" s="193"/>
      <c r="AC28" s="40" t="str">
        <f>D20</f>
        <v>Spěvák Šimon</v>
      </c>
      <c r="AD28" s="7"/>
      <c r="AE28" s="54" t="str">
        <f>D26</f>
        <v>Plotzer Robin</v>
      </c>
      <c r="AF28" s="22" t="s">
        <v>109</v>
      </c>
      <c r="AG28" s="19" t="s">
        <v>125</v>
      </c>
      <c r="AH28" s="19" t="s">
        <v>101</v>
      </c>
      <c r="AI28" s="19" t="s">
        <v>99</v>
      </c>
      <c r="AJ28" s="52" t="str">
        <f>IF(ISNUMBER($AR28),
      IF(SIGN($AR28)&gt;=0,
           IF( ISBLANK(INDEX('sk A,B - Muži'!$A$1:'sk A,B - Muži'!$AM$36,ABS($AR28),COLUMN())),"", INDEX('sk A,B - Muži'!$A$1:'sk A,B - Muži'!$AM$36,ABS($AR28),COLUMN())),
           IF(MID(INDEX('sk A,B - Muži'!$A$1:'sk A,B - Muži'!$AM$36,ABS($AR28),COLUMN()),1,1)="-",
                MID(INDEX('sk A,B - Muži'!$A$1:'sk A,B - Muži'!$AM$36,ABS($AR28),COLUMN()),2,5),
                IF( ISBLANK(INDEX('sk A,B - Muži'!$A$1:'sk A,B - Muži'!$AM$36,ABS($AR28),COLUMN())), "",   CONCATENATE("-",INDEX('sk A,B - Muži'!$A$1:'sk A,B - Muži'!$AM$36,ABS($AR28),COLUMN()))   )
               )
          ),
        ""
      )</f>
        <v/>
      </c>
      <c r="AK28" s="96">
        <f t="shared" si="17"/>
        <v>3</v>
      </c>
      <c r="AL28" s="13" t="s">
        <v>6</v>
      </c>
      <c r="AM28" s="27">
        <f t="shared" si="18"/>
        <v>1</v>
      </c>
      <c r="AN28" s="9"/>
      <c r="AO28" s="37"/>
      <c r="AP28" s="3">
        <f>A19</f>
        <v>10</v>
      </c>
      <c r="AQ28" s="3">
        <f>A25</f>
        <v>11</v>
      </c>
      <c r="AR28" s="2" t="str">
        <f>IF(ISNA(MATCH(CONCATENATE(AP28,"-",AQ28),'sk A,B - Muži'!AR$1:'sk A,B - Muži'!AR$36,0)),  IF(ISNA(MATCH(CONCATENATE(AQ28,"-",AP28),'sk A,B - Muži'!AR$1:'sk A,B - Muži'!AR$36,0)),"",-1*MATCH(CONCATENATE(AQ28,"-",AP28),'sk A,B - Muži'!AR$1:'sk A,B - Muži'!AR$36,0) ),MATCH(CONCATENATE(AP28,"-",AQ28),'sk A,B - Muži'!AR$1:'sk A,B - Muži'!AR$36,0)       )</f>
        <v/>
      </c>
      <c r="AS28">
        <f>$A$29</f>
        <v>9</v>
      </c>
      <c r="AT28" s="123" t="e">
        <f t="shared" ca="1" si="19"/>
        <v>#NAME?</v>
      </c>
      <c r="AU28">
        <f t="shared" si="15"/>
        <v>44</v>
      </c>
      <c r="AV28">
        <f t="shared" si="16"/>
        <v>41</v>
      </c>
      <c r="AW28" s="123"/>
      <c r="AX28" s="120"/>
      <c r="AY28" s="120"/>
      <c r="AZ28" s="120"/>
    </row>
    <row r="29" spans="1:53" ht="13.5" thickBot="1">
      <c r="A29" s="195">
        <v>9</v>
      </c>
      <c r="B29" s="24"/>
      <c r="C29" s="139">
        <v>6</v>
      </c>
      <c r="D29" s="29" t="str">
        <f>IF(COUNTIF(seznam!$A$2:$A$25,A29)=1,VLOOKUP(A29,seznam!$A$2:$C$25,3,FALSE),"------")</f>
        <v>Sokol Brno I</v>
      </c>
      <c r="E29" s="149">
        <f>AM6</f>
        <v>3</v>
      </c>
      <c r="F29" s="129" t="s">
        <v>6</v>
      </c>
      <c r="G29" s="147">
        <f>AK6</f>
        <v>0</v>
      </c>
      <c r="H29" s="150">
        <f>AM20</f>
        <v>3</v>
      </c>
      <c r="I29" s="129" t="s">
        <v>6</v>
      </c>
      <c r="J29" s="147">
        <f>AK20</f>
        <v>0</v>
      </c>
      <c r="K29" s="150">
        <f>AM34</f>
        <v>3</v>
      </c>
      <c r="L29" s="129" t="s">
        <v>6</v>
      </c>
      <c r="M29" s="147">
        <f>AK34</f>
        <v>2</v>
      </c>
      <c r="N29" s="150">
        <f>AK13</f>
        <v>2</v>
      </c>
      <c r="O29" s="129" t="s">
        <v>6</v>
      </c>
      <c r="P29" s="129">
        <f>AM13</f>
        <v>3</v>
      </c>
      <c r="Q29" s="150">
        <f>AK27</f>
        <v>0</v>
      </c>
      <c r="R29" s="129" t="s">
        <v>6</v>
      </c>
      <c r="S29" s="147">
        <f>AM27</f>
        <v>3</v>
      </c>
      <c r="T29" s="175"/>
      <c r="U29" s="176"/>
      <c r="V29" s="177"/>
      <c r="W29" s="129">
        <f>H29+K29+N29+Q29+E29</f>
        <v>11</v>
      </c>
      <c r="X29" s="129" t="s">
        <v>6</v>
      </c>
      <c r="Y29" s="147">
        <f>J29+M29+P29+S29+G29</f>
        <v>8</v>
      </c>
      <c r="Z29" s="13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8</v>
      </c>
      <c r="AA29" s="199">
        <v>8</v>
      </c>
      <c r="AB29" s="192"/>
      <c r="AC29" s="41" t="str">
        <f>D22</f>
        <v>Luhan Adam</v>
      </c>
      <c r="AD29" s="42"/>
      <c r="AE29" s="55" t="str">
        <f>D24</f>
        <v>Tomeček Richard</v>
      </c>
      <c r="AF29" s="43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-5</v>
      </c>
      <c r="AG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11</v>
      </c>
      <c r="AH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-12</v>
      </c>
      <c r="AI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-5</v>
      </c>
      <c r="AJ29" s="57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/>
      </c>
      <c r="AK29" s="97">
        <f t="shared" si="17"/>
        <v>1</v>
      </c>
      <c r="AL29" s="46" t="s">
        <v>6</v>
      </c>
      <c r="AM29" s="47">
        <f t="shared" si="18"/>
        <v>3</v>
      </c>
      <c r="AN29" s="9"/>
      <c r="AO29" s="37"/>
      <c r="AP29" s="3">
        <f>A21</f>
        <v>12</v>
      </c>
      <c r="AQ29" s="3">
        <f>A23</f>
        <v>6</v>
      </c>
      <c r="AR29" s="2">
        <f>IF(ISNA(MATCH(CONCATENATE(AP29,"-",AQ29),'sk A,B - Muži'!AR$1:'sk A,B - Muži'!AR$36,0)),  IF(ISNA(MATCH(CONCATENATE(AQ29,"-",AP29),'sk A,B - Muži'!AR$1:'sk A,B - Muži'!AR$36,0)),"",-1*MATCH(CONCATENATE(AQ29,"-",AP29),'sk A,B - Muži'!AR$1:'sk A,B - Muži'!AR$36,0) ),MATCH(CONCATENATE(AP29,"-",AQ29),'sk A,B - Muži'!AR$1:'sk A,B - Muži'!AR$36,0)       )</f>
        <v>10</v>
      </c>
      <c r="AS29">
        <f>$A$19</f>
        <v>10</v>
      </c>
      <c r="AT29" s="123" t="s">
        <v>122</v>
      </c>
      <c r="AU29">
        <f t="shared" si="15"/>
        <v>35</v>
      </c>
      <c r="AV29">
        <f t="shared" si="16"/>
        <v>47</v>
      </c>
      <c r="AW29" s="123"/>
      <c r="AX29" s="120" cm="1">
        <f t="array" aca="1" ref="AX29" ca="1">SUMIF($AP$3:$AP$36,INDIRECT(ADDRESS(ROW(),1)),$AU$3:$AU$36) + SUMIF($AQ$3:$AQ$36,INDIRECT(ADDRESS(ROW(),1)),$AV$3:$AV$36)</f>
        <v>182</v>
      </c>
      <c r="AY29" s="120" cm="1">
        <f t="array" aca="1" ref="AY29" ca="1">SUMIF($AP$3:$AP$36,INDIRECT(ADDRESS(ROW(),1)),$AV$3:$AV$36) + SUMIF($AQ$3:$AQ$36,INDIRECT(ADDRESS(ROW(),1)),$AU$3:$AU$36)</f>
        <v>154</v>
      </c>
      <c r="AZ29" s="120">
        <f ca="1">IFERROR(AX29/AY29,"")</f>
        <v>1.1818181818181819</v>
      </c>
      <c r="BA29" t="str">
        <f>IF($A29&gt;0,IF(VLOOKUP($A29,seznam!$A$2:$C$197,2)&gt;0,VLOOKUP($A29,seznam!$A$2:$C$197,2),"------"),"------")</f>
        <v>Ides Samuel Hugo</v>
      </c>
    </row>
    <row r="30" spans="1:53" ht="13.5" thickBot="1">
      <c r="A30" s="196"/>
      <c r="B30"/>
      <c r="C30" s="174"/>
      <c r="D30" s="18" t="str">
        <f>IF(COUNTIF(seznam!$A$2:$A$25,A29)=1,VLOOKUP(A29,seznam!$A$2:$C$25,2,FALSE),"------")</f>
        <v>Ides Samuel Hugo</v>
      </c>
      <c r="E30" s="161"/>
      <c r="F30" s="155"/>
      <c r="G30" s="163"/>
      <c r="H30" s="158"/>
      <c r="I30" s="155"/>
      <c r="J30" s="163"/>
      <c r="K30" s="158"/>
      <c r="L30" s="155"/>
      <c r="M30" s="163"/>
      <c r="N30" s="158"/>
      <c r="O30" s="155"/>
      <c r="P30" s="181"/>
      <c r="Q30" s="158"/>
      <c r="R30" s="155"/>
      <c r="S30" s="163"/>
      <c r="T30" s="178"/>
      <c r="U30" s="179"/>
      <c r="V30" s="180"/>
      <c r="W30" s="181"/>
      <c r="X30" s="155"/>
      <c r="Y30" s="163"/>
      <c r="Z30" s="162"/>
      <c r="AA30" s="201"/>
      <c r="AB30" s="193"/>
      <c r="AC30" s="4" t="s">
        <v>14</v>
      </c>
      <c r="AK30" s="98"/>
      <c r="AL30" s="9"/>
      <c r="AM30" s="9"/>
      <c r="AN30" s="9"/>
      <c r="AP30" s="3"/>
      <c r="AQ30" s="3"/>
      <c r="AR30" s="2" t="str">
        <f>IF(ISNA(MATCH(CONCATENATE(AP30,"-",AQ30),'sk A,B - Muži'!AR$1:'sk A,B - Muži'!AR$36,0)),  IF(ISNA(MATCH(CONCATENATE(AQ30,"-",AP30),'sk A,B - Muži'!AR$1:'sk A,B - Muži'!AR$36,0)),"",-1*MATCH(CONCATENATE(AQ30,"-",AP30),'sk A,B - Muži'!AR$1:'sk A,B - Muži'!AR$36,0) ),MATCH(CONCATENATE(AP30,"-",AQ30),'sk A,B - Muži'!AR$1:'sk A,B - Muži'!AR$36,0)       )</f>
        <v/>
      </c>
      <c r="AS30"/>
      <c r="AT30" s="123"/>
      <c r="AU30"/>
      <c r="AV30"/>
      <c r="AW30" s="123"/>
    </row>
    <row r="31" spans="1:53">
      <c r="AC31" s="39" t="str">
        <f>D9</f>
        <v>Šimon Samuel</v>
      </c>
      <c r="AD31" s="51" t="s">
        <v>8</v>
      </c>
      <c r="AE31" s="53" t="str">
        <f>D15</f>
        <v>Omelka Marek</v>
      </c>
      <c r="AF31" s="20" t="s">
        <v>105</v>
      </c>
      <c r="AG31" s="21" t="s">
        <v>120</v>
      </c>
      <c r="AH31" s="21" t="s">
        <v>112</v>
      </c>
      <c r="AI31" s="21" t="s">
        <v>107</v>
      </c>
      <c r="AJ31" s="56" t="str">
        <f>IF(ISNUMBER($AR31),
      IF(SIGN($AR31)&gt;=0,
           IF( ISBLANK(INDEX('sk A,B - Muži'!$A$1:'sk A,B - Muži'!$AM$36,ABS($AR31),COLUMN())),"", INDEX('sk A,B - Muži'!$A$1:'sk A,B - Muži'!$AM$36,ABS($AR31),COLUMN())),
           IF(MID(INDEX('sk A,B - Muži'!$A$1:'sk A,B - Muži'!$AM$36,ABS($AR31),COLUMN()),1,1)="-",
                MID(INDEX('sk A,B - Muži'!$A$1:'sk A,B - Muži'!$AM$36,ABS($AR31),COLUMN()),2,5),
                IF( ISBLANK(INDEX('sk A,B - Muži'!$A$1:'sk A,B - Muži'!$AM$36,ABS($AR31),COLUMN())), "",   CONCATENATE("-",INDEX('sk A,B - Muži'!$A$1:'sk A,B - Muži'!$AM$36,ABS($AR31),COLUMN()))   )
               )
          ),
        ""
      )</f>
        <v/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1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3</v>
      </c>
      <c r="AN31" s="9"/>
      <c r="AO31" s="37"/>
      <c r="AP31" s="3">
        <f>A8</f>
        <v>3</v>
      </c>
      <c r="AQ31" s="3">
        <f>A14</f>
        <v>5</v>
      </c>
      <c r="AR31" s="2" t="str">
        <f>IF(ISNA(MATCH(CONCATENATE(AP31,"-",AQ31),'sk A,B - Muži'!AR$1:'sk A,B - Muži'!AR$36,0)),  IF(ISNA(MATCH(CONCATENATE(AQ31,"-",AP31),'sk A,B - Muži'!AR$1:'sk A,B - Muži'!AR$36,0)),"",-1*MATCH(CONCATENATE(AQ31,"-",AP31),'sk A,B - Muži'!AR$1:'sk A,B - Muži'!AR$36,0) ),MATCH(CONCATENATE(AP31,"-",AQ31),'sk A,B - Muži'!AR$1:'sk A,B - Muži'!AR$36,0)       )</f>
        <v/>
      </c>
      <c r="AS31">
        <f>$A$12</f>
        <v>4</v>
      </c>
      <c r="AT31" s="123" t="e">
        <f t="shared" ref="AT31:AT36" ca="1" si="20">IF(AND(_xlfn.ISFORMULA(AF31),OR(LEN(AF31)&gt;0,LEN(AG31)&gt;0,LEN(AH31)&gt;0,LEN(AI31)&gt;0,LEN(AJ31)&gt;0)),"a","")</f>
        <v>#NAME?</v>
      </c>
      <c r="AU31">
        <f t="shared" ref="AU31:AU36" si="21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43</v>
      </c>
      <c r="AV31">
        <f t="shared" ref="AV31:AV36" si="22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47</v>
      </c>
      <c r="AW31" s="123"/>
    </row>
    <row r="32" spans="1:53">
      <c r="AC32" s="40" t="str">
        <f>D11</f>
        <v>Peťura Patrik</v>
      </c>
      <c r="AD32" s="7" t="s">
        <v>8</v>
      </c>
      <c r="AE32" s="54" t="str">
        <f>D7</f>
        <v>Látal Jan</v>
      </c>
      <c r="AF32" s="22" t="s">
        <v>101</v>
      </c>
      <c r="AG32" s="19" t="s">
        <v>99</v>
      </c>
      <c r="AH32" s="19" t="s">
        <v>126</v>
      </c>
      <c r="AI32" s="19" t="s">
        <v>102</v>
      </c>
      <c r="AJ32" s="52" t="str">
        <f>IF(ISNUMBER($AR32),
      IF(SIGN($AR32)&gt;=0,
           IF( ISBLANK(INDEX('sk A,B - Muži'!$A$1:'sk A,B - Muži'!$AM$36,ABS($AR32),COLUMN())),"", INDEX('sk A,B - Muži'!$A$1:'sk A,B - Muži'!$AM$36,ABS($AR32),COLUMN())),
           IF(MID(INDEX('sk A,B - Muži'!$A$1:'sk A,B - Muži'!$AM$36,ABS($AR32),COLUMN()),1,1)="-",
                MID(INDEX('sk A,B - Muži'!$A$1:'sk A,B - Muži'!$AM$36,ABS($AR32),COLUMN()),2,5),
                IF( ISBLANK(INDEX('sk A,B - Muži'!$A$1:'sk A,B - Muži'!$AM$36,ABS($AR32),COLUMN())), "",   CONCATENATE("-",INDEX('sk A,B - Muži'!$A$1:'sk A,B - Muži'!$AM$36,ABS($AR32),COLUMN()))   )
               )
          ),
        ""
      )</f>
        <v/>
      </c>
      <c r="AK32" s="96">
        <f t="shared" ref="AK32:AK36" si="2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3</v>
      </c>
      <c r="AL32" s="13" t="s">
        <v>6</v>
      </c>
      <c r="AM32" s="27">
        <f t="shared" ref="AM32:AM36" si="2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1</v>
      </c>
      <c r="AN32" s="9"/>
      <c r="AO32" s="37"/>
      <c r="AP32" s="3">
        <f>A10</f>
        <v>2</v>
      </c>
      <c r="AQ32" s="3">
        <f>A6</f>
        <v>8</v>
      </c>
      <c r="AR32" s="2" t="str">
        <f>IF(ISNA(MATCH(CONCATENATE(AP32,"-",AQ32),'sk A,B - Muži'!AR$1:'sk A,B - Muži'!AR$36,0)),  IF(ISNA(MATCH(CONCATENATE(AQ32,"-",AP32),'sk A,B - Muži'!AR$1:'sk A,B - Muži'!AR$36,0)),"",-1*MATCH(CONCATENATE(AQ32,"-",AP32),'sk A,B - Muži'!AR$1:'sk A,B - Muži'!AR$36,0) ),MATCH(CONCATENATE(AP32,"-",AQ32),'sk A,B - Muži'!AR$1:'sk A,B - Muži'!AR$36,0)       )</f>
        <v/>
      </c>
      <c r="AS32">
        <f>$A$4</f>
        <v>1</v>
      </c>
      <c r="AT32" s="123" t="e">
        <f t="shared" ca="1" si="20"/>
        <v>#NAME?</v>
      </c>
      <c r="AU32">
        <f t="shared" si="21"/>
        <v>47</v>
      </c>
      <c r="AV32">
        <f t="shared" si="22"/>
        <v>37</v>
      </c>
      <c r="AW32" s="123"/>
    </row>
    <row r="33" spans="29:49">
      <c r="AC33" s="40" t="str">
        <f>D13</f>
        <v>Kmenta Josef</v>
      </c>
      <c r="AD33" s="7" t="s">
        <v>8</v>
      </c>
      <c r="AE33" s="54" t="str">
        <f>D5</f>
        <v>Voráč Pavel</v>
      </c>
      <c r="AF33" s="22" t="s">
        <v>105</v>
      </c>
      <c r="AG33" s="19" t="s">
        <v>104</v>
      </c>
      <c r="AH33" s="19" t="s">
        <v>112</v>
      </c>
      <c r="AI33" s="19" t="s">
        <v>116</v>
      </c>
      <c r="AJ33" s="52" t="s">
        <v>105</v>
      </c>
      <c r="AK33" s="96">
        <f t="shared" si="23"/>
        <v>2</v>
      </c>
      <c r="AL33" s="13" t="s">
        <v>6</v>
      </c>
      <c r="AM33" s="27">
        <f t="shared" si="24"/>
        <v>3</v>
      </c>
      <c r="AN33" s="9"/>
      <c r="AO33" s="37"/>
      <c r="AP33" s="3">
        <f>A12</f>
        <v>4</v>
      </c>
      <c r="AQ33" s="3">
        <f>A4</f>
        <v>1</v>
      </c>
      <c r="AR33" s="2" t="str">
        <f>IF(ISNA(MATCH(CONCATENATE(AP33,"-",AQ33),'sk A,B - Muži'!AR$1:'sk A,B - Muži'!AR$36,0)),  IF(ISNA(MATCH(CONCATENATE(AQ33,"-",AP33),'sk A,B - Muži'!AR$1:'sk A,B - Muži'!AR$36,0)),"",-1*MATCH(CONCATENATE(AQ33,"-",AP33),'sk A,B - Muži'!AR$1:'sk A,B - Muži'!AR$36,0) ),MATCH(CONCATENATE(AP33,"-",AQ33),'sk A,B - Muži'!AR$1:'sk A,B - Muži'!AR$36,0)       )</f>
        <v/>
      </c>
      <c r="AS33">
        <f>$A$8</f>
        <v>3</v>
      </c>
      <c r="AT33" s="123" t="e">
        <f t="shared" ca="1" si="20"/>
        <v>#NAME?</v>
      </c>
      <c r="AU33">
        <f t="shared" si="21"/>
        <v>46</v>
      </c>
      <c r="AV33">
        <f t="shared" si="22"/>
        <v>53</v>
      </c>
      <c r="AW33" s="123"/>
    </row>
    <row r="34" spans="29:49">
      <c r="AC34" s="40" t="str">
        <f>D24</f>
        <v>Tomeček Richard</v>
      </c>
      <c r="AD34" s="7"/>
      <c r="AE34" s="54" t="str">
        <f>D30</f>
        <v>Ides Samuel Hugo</v>
      </c>
      <c r="AF34" s="22" t="s">
        <v>119</v>
      </c>
      <c r="AG34" s="19" t="s">
        <v>112</v>
      </c>
      <c r="AH34" s="19" t="s">
        <v>98</v>
      </c>
      <c r="AI34" s="19" t="s">
        <v>108</v>
      </c>
      <c r="AJ34" s="52" t="s">
        <v>109</v>
      </c>
      <c r="AK34" s="96">
        <f t="shared" si="23"/>
        <v>2</v>
      </c>
      <c r="AL34" s="13" t="s">
        <v>6</v>
      </c>
      <c r="AM34" s="27">
        <f t="shared" si="24"/>
        <v>3</v>
      </c>
      <c r="AN34" s="9"/>
      <c r="AO34" s="37"/>
      <c r="AP34" s="3">
        <f>A23</f>
        <v>6</v>
      </c>
      <c r="AQ34" s="3">
        <f>A29</f>
        <v>9</v>
      </c>
      <c r="AR34" s="2" t="str">
        <f>IF(ISNA(MATCH(CONCATENATE(AP34,"-",AQ34),'sk A,B - Muži'!AR$1:'sk A,B - Muži'!AR$36,0)),  IF(ISNA(MATCH(CONCATENATE(AQ34,"-",AP34),'sk A,B - Muži'!AR$1:'sk A,B - Muži'!AR$36,0)),"",-1*MATCH(CONCATENATE(AQ34,"-",AP34),'sk A,B - Muži'!AR$1:'sk A,B - Muži'!AR$36,0) ),MATCH(CONCATENATE(AP34,"-",AQ34),'sk A,B - Muži'!AR$1:'sk A,B - Muži'!AR$36,0)       )</f>
        <v/>
      </c>
      <c r="AS34">
        <f>$A$27</f>
        <v>7</v>
      </c>
      <c r="AT34" s="123" t="e">
        <f t="shared" ca="1" si="20"/>
        <v>#NAME?</v>
      </c>
      <c r="AU34">
        <f t="shared" si="21"/>
        <v>42</v>
      </c>
      <c r="AV34">
        <f t="shared" si="22"/>
        <v>47</v>
      </c>
      <c r="AW34" s="123"/>
    </row>
    <row r="35" spans="29:49">
      <c r="AC35" s="40" t="str">
        <f>D26</f>
        <v>Plotzer Robin</v>
      </c>
      <c r="AD35" s="7"/>
      <c r="AE35" s="54" t="str">
        <f>D22</f>
        <v>Luhan Adam</v>
      </c>
      <c r="AF35" s="22" t="s">
        <v>112</v>
      </c>
      <c r="AG35" s="19" t="s">
        <v>99</v>
      </c>
      <c r="AH35" s="19" t="s">
        <v>105</v>
      </c>
      <c r="AI35" s="19" t="s">
        <v>113</v>
      </c>
      <c r="AJ35" s="52" t="s">
        <v>112</v>
      </c>
      <c r="AK35" s="96">
        <f t="shared" si="23"/>
        <v>3</v>
      </c>
      <c r="AL35" s="13" t="s">
        <v>6</v>
      </c>
      <c r="AM35" s="27">
        <f t="shared" si="24"/>
        <v>2</v>
      </c>
      <c r="AN35" s="9"/>
      <c r="AO35" s="37"/>
      <c r="AP35" s="3">
        <f>A25</f>
        <v>11</v>
      </c>
      <c r="AQ35" s="3">
        <f>A21</f>
        <v>12</v>
      </c>
      <c r="AR35" s="2" t="str">
        <f>IF(ISNA(MATCH(CONCATENATE(AP35,"-",AQ35),'sk A,B - Muži'!AR$1:'sk A,B - Muži'!AR$36,0)),  IF(ISNA(MATCH(CONCATENATE(AQ35,"-",AP35),'sk A,B - Muži'!AR$1:'sk A,B - Muži'!AR$36,0)),"",-1*MATCH(CONCATENATE(AQ35,"-",AP35),'sk A,B - Muži'!AR$1:'sk A,B - Muži'!AR$36,0) ),MATCH(CONCATENATE(AP35,"-",AQ35),'sk A,B - Muži'!AR$1:'sk A,B - Muži'!AR$36,0)       )</f>
        <v/>
      </c>
      <c r="AS35">
        <f>$A$19</f>
        <v>10</v>
      </c>
      <c r="AT35" s="123" t="e">
        <f t="shared" ca="1" si="20"/>
        <v>#NAME?</v>
      </c>
      <c r="AU35">
        <f t="shared" si="21"/>
        <v>48</v>
      </c>
      <c r="AV35">
        <f t="shared" si="22"/>
        <v>47</v>
      </c>
      <c r="AW35" s="123"/>
    </row>
    <row r="36" spans="29:49" ht="13.5" thickBot="1">
      <c r="AC36" s="41" t="str">
        <f>D28</f>
        <v>Pantlík Daniel</v>
      </c>
      <c r="AD36" s="42"/>
      <c r="AE36" s="55" t="str">
        <f>D20</f>
        <v>Spěvák Šimon</v>
      </c>
      <c r="AF36" s="43" t="s">
        <v>102</v>
      </c>
      <c r="AG36" s="44" t="s">
        <v>109</v>
      </c>
      <c r="AH36" s="44" t="s">
        <v>98</v>
      </c>
      <c r="AI36" s="44" t="s">
        <v>112</v>
      </c>
      <c r="AJ36" s="57" t="str">
        <f>IF(ISNUMBER($AR36),
      IF(SIGN($AR36)&gt;=0,
           IF( ISBLANK(INDEX('sk A,B - Muži'!$A$1:'sk A,B - Muži'!$AM$36,ABS($AR36),COLUMN())),"", INDEX('sk A,B - Muži'!$A$1:'sk A,B - Muži'!$AM$36,ABS($AR36),COLUMN())),
           IF(MID(INDEX('sk A,B - Muži'!$A$1:'sk A,B - Muži'!$AM$36,ABS($AR36),COLUMN()),1,1)="-",
                MID(INDEX('sk A,B - Muži'!$A$1:'sk A,B - Muži'!$AM$36,ABS($AR36),COLUMN()),2,5),
                IF( ISBLANK(INDEX('sk A,B - Muži'!$A$1:'sk A,B - Muži'!$AM$36,ABS($AR36),COLUMN())), "",   CONCATENATE("-",INDEX('sk A,B - Muži'!$A$1:'sk A,B - Muži'!$AM$36,ABS($AR36),COLUMN()))   )
               )
          ),
        ""
      )</f>
        <v/>
      </c>
      <c r="AK36" s="97">
        <f t="shared" si="23"/>
        <v>3</v>
      </c>
      <c r="AL36" s="46" t="s">
        <v>6</v>
      </c>
      <c r="AM36" s="47">
        <f t="shared" si="24"/>
        <v>1</v>
      </c>
      <c r="AN36" s="9"/>
      <c r="AO36" s="37"/>
      <c r="AP36" s="3">
        <f>A27</f>
        <v>7</v>
      </c>
      <c r="AQ36" s="3">
        <f>A19</f>
        <v>10</v>
      </c>
      <c r="AR36" s="2" t="str">
        <f>IF(ISNA(MATCH(CONCATENATE(AP36,"-",AQ36),'sk A,B - Muži'!AR$1:'sk A,B - Muži'!AR$36,0)),  IF(ISNA(MATCH(CONCATENATE(AQ36,"-",AP36),'sk A,B - Muži'!AR$1:'sk A,B - Muži'!AR$36,0)),"",-1*MATCH(CONCATENATE(AQ36,"-",AP36),'sk A,B - Muži'!AR$1:'sk A,B - Muži'!AR$36,0) ),MATCH(CONCATENATE(AP36,"-",AQ36),'sk A,B - Muži'!AR$1:'sk A,B - Muži'!AR$36,0)       )</f>
        <v/>
      </c>
      <c r="AS36">
        <f>$A$23</f>
        <v>6</v>
      </c>
      <c r="AT36" s="123" t="e">
        <f t="shared" ca="1" si="20"/>
        <v>#NAME?</v>
      </c>
      <c r="AU36">
        <f t="shared" si="21"/>
        <v>38</v>
      </c>
      <c r="AV36">
        <f t="shared" si="22"/>
        <v>31</v>
      </c>
      <c r="AW36" s="123"/>
    </row>
    <row r="37" spans="29:49">
      <c r="AP37" s="3"/>
      <c r="AQ37" s="3"/>
      <c r="AR37" s="2"/>
      <c r="AS37"/>
    </row>
    <row r="50" spans="1:27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A50"/>
  <sheetViews>
    <sheetView view="pageBreakPreview" topLeftCell="A7" zoomScale="85" zoomScaleNormal="100" zoomScaleSheetLayoutView="85" workbookViewId="0">
      <selection activeCell="AA31" sqref="AA31"/>
    </sheetView>
  </sheetViews>
  <sheetFormatPr defaultRowHeight="1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4" customWidth="1"/>
    <col min="37" max="39" width="3.1796875" style="3" customWidth="1"/>
    <col min="40" max="40" width="2.7265625" style="3" customWidth="1"/>
    <col min="41" max="41" width="4.7265625" style="3" customWidth="1"/>
    <col min="42" max="45" width="4.7265625" style="9" customWidth="1"/>
    <col min="46" max="46" width="8.6328125" style="3" bestFit="1" customWidth="1"/>
    <col min="47" max="47" width="6.26953125" style="3" customWidth="1"/>
    <col min="48" max="48" width="6.26953125" style="4" customWidth="1"/>
    <col min="49" max="49" width="6.26953125" style="2" customWidth="1"/>
    <col min="50" max="52" width="6.26953125" customWidth="1"/>
    <col min="53" max="53" width="22.7265625" customWidth="1"/>
  </cols>
  <sheetData>
    <row r="1" spans="1:53" s="15" customFormat="1" ht="40" customHeight="1" thickBot="1">
      <c r="C1" s="191" t="s">
        <v>62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28"/>
      <c r="AC1" s="100" t="s">
        <v>52</v>
      </c>
      <c r="AD1" s="94"/>
      <c r="AE1" s="100">
        <v>45773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127"/>
      <c r="AQ1" s="127"/>
      <c r="AR1" s="94"/>
      <c r="AS1" s="28"/>
      <c r="AT1" s="121"/>
      <c r="AU1" s="36" t="s">
        <v>53</v>
      </c>
      <c r="AV1" s="48"/>
      <c r="AW1" s="124"/>
      <c r="AX1" s="126" t="s">
        <v>58</v>
      </c>
      <c r="AY1" s="119"/>
      <c r="AZ1" s="119"/>
      <c r="BA1" s="94"/>
    </row>
    <row r="2" spans="1:53" ht="13.5" thickBot="1">
      <c r="C2" s="188" t="s">
        <v>39</v>
      </c>
      <c r="D2" s="189"/>
      <c r="E2" s="188">
        <v>1</v>
      </c>
      <c r="F2" s="166"/>
      <c r="G2" s="166"/>
      <c r="H2" s="169">
        <v>2</v>
      </c>
      <c r="I2" s="166"/>
      <c r="J2" s="166"/>
      <c r="K2" s="169">
        <v>3</v>
      </c>
      <c r="L2" s="166"/>
      <c r="M2" s="166"/>
      <c r="N2" s="169">
        <v>4</v>
      </c>
      <c r="O2" s="166"/>
      <c r="P2" s="166"/>
      <c r="Q2" s="169">
        <v>5</v>
      </c>
      <c r="R2" s="166"/>
      <c r="S2" s="166"/>
      <c r="T2" s="169">
        <v>6</v>
      </c>
      <c r="U2" s="166"/>
      <c r="V2" s="189"/>
      <c r="W2" s="165" t="s">
        <v>3</v>
      </c>
      <c r="X2" s="166"/>
      <c r="Y2" s="166"/>
      <c r="Z2" s="169" t="s">
        <v>4</v>
      </c>
      <c r="AA2" s="170" t="s">
        <v>5</v>
      </c>
      <c r="AC2" s="4" t="s">
        <v>10</v>
      </c>
      <c r="AP2" s="38"/>
      <c r="AQ2" s="38"/>
      <c r="AR2" s="2"/>
      <c r="AS2" t="s">
        <v>57</v>
      </c>
      <c r="AT2" s="122"/>
      <c r="AU2" s="71" t="s">
        <v>55</v>
      </c>
      <c r="AV2" s="71" t="s">
        <v>56</v>
      </c>
      <c r="AW2" s="125"/>
      <c r="AX2" s="120" t="s">
        <v>55</v>
      </c>
      <c r="AY2" s="120" t="s">
        <v>56</v>
      </c>
      <c r="AZ2" s="120" t="s">
        <v>54</v>
      </c>
      <c r="BA2" s="3"/>
    </row>
    <row r="3" spans="1:53" ht="13.5" thickBot="1">
      <c r="A3"/>
      <c r="B3"/>
      <c r="C3" s="190"/>
      <c r="D3" s="171"/>
      <c r="E3" s="19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71"/>
      <c r="W3" s="167"/>
      <c r="X3" s="168"/>
      <c r="Y3" s="168"/>
      <c r="Z3" s="168"/>
      <c r="AA3" s="171"/>
      <c r="AC3" s="39" t="str">
        <f>D5</f>
        <v>Solfronková Ema</v>
      </c>
      <c r="AD3" s="51" t="s">
        <v>8</v>
      </c>
      <c r="AE3" s="53" t="str">
        <f>D15</f>
        <v>Jonášová Kristýna</v>
      </c>
      <c r="AF3" s="20" t="s">
        <v>99</v>
      </c>
      <c r="AG3" s="21" t="s">
        <v>99</v>
      </c>
      <c r="AH3" s="21" t="s">
        <v>103</v>
      </c>
      <c r="AI3" s="21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J3" s="56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13</v>
      </c>
      <c r="AQ3" s="37">
        <f>A14</f>
        <v>23</v>
      </c>
      <c r="AR3" s="2" t="str">
        <f>IF(ISNA(MATCH(CONCATENATE(AP3,"-",AQ3),'sk C,D - Ženy'!AR$1:'sk C,D - Ženy'!AR$36,0)),  IF(ISNA(MATCH(CONCATENATE(AQ3,"-",AP3),'sk C,D - Ženy'!AR$1:'sk C,D - Ženy'!AR$36,0)),"",-1*MATCH(CONCATENATE(AQ3,"-",AP3),'sk C,D - Ženy'!AR$1:'sk C,D - Ženy'!AR$36,0) ),MATCH(CONCATENATE(AP3,"-",AQ3),'sk C,D - Ženy'!AR$1:'sk C,D - Ženy'!AR$36,0)       )</f>
        <v/>
      </c>
      <c r="AS3">
        <f>$A$8</f>
        <v>16</v>
      </c>
      <c r="AT3" s="123" t="e">
        <f ca="1">IF(AND(_xlfn.ISFORMULA(AF3),OR(LEN(AF3)&gt;0,LEN(AG3)&gt;0,LEN(AH3)&gt;0,LEN(AI3)&gt;0,LEN(AJ3)&gt;0)),"a","")</f>
        <v>#NAME?</v>
      </c>
      <c r="AU3">
        <f t="shared" ref="AU3:AU8" si="0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33</v>
      </c>
      <c r="AV3">
        <f t="shared" ref="AV3:AV8" si="1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18</v>
      </c>
      <c r="AW3" s="123"/>
    </row>
    <row r="4" spans="1:53">
      <c r="A4" s="195">
        <v>13</v>
      </c>
      <c r="B4" s="24"/>
      <c r="C4" s="133">
        <v>1</v>
      </c>
      <c r="D4" s="33" t="str">
        <f>IF(COUNTIF(seznam!$A$2:$A$25,A4)=1,VLOOKUP(A4,seznam!$A$2:$C$25,3,FALSE),"------")</f>
        <v>MS Brno</v>
      </c>
      <c r="E4" s="140"/>
      <c r="F4" s="141"/>
      <c r="G4" s="142"/>
      <c r="H4" s="152">
        <f>AK12</f>
        <v>3</v>
      </c>
      <c r="I4" s="146" t="s">
        <v>6</v>
      </c>
      <c r="J4" s="153">
        <f>AM12</f>
        <v>0</v>
      </c>
      <c r="K4" s="152">
        <f>AM18</f>
        <v>3</v>
      </c>
      <c r="L4" s="146" t="s">
        <v>6</v>
      </c>
      <c r="M4" s="153">
        <f>AK18</f>
        <v>0</v>
      </c>
      <c r="N4" s="152">
        <f>AK25</f>
        <v>3</v>
      </c>
      <c r="O4" s="146" t="s">
        <v>6</v>
      </c>
      <c r="P4" s="146">
        <f>AM25</f>
        <v>1</v>
      </c>
      <c r="Q4" s="152">
        <f>AM33</f>
        <v>1</v>
      </c>
      <c r="R4" s="146" t="s">
        <v>6</v>
      </c>
      <c r="S4" s="153">
        <f>AK33</f>
        <v>3</v>
      </c>
      <c r="T4" s="152">
        <f>AK3</f>
        <v>3</v>
      </c>
      <c r="U4" s="146" t="s">
        <v>6</v>
      </c>
      <c r="V4" s="186">
        <f>AM3</f>
        <v>0</v>
      </c>
      <c r="W4" s="146">
        <f>H4+K4+N4+Q4+T4</f>
        <v>13</v>
      </c>
      <c r="X4" s="146" t="s">
        <v>6</v>
      </c>
      <c r="Y4" s="153">
        <f>J4+M4+P4+S4+V4</f>
        <v>4</v>
      </c>
      <c r="Z4" s="194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9</v>
      </c>
      <c r="AA4" s="197">
        <v>2</v>
      </c>
      <c r="AB4" s="192"/>
      <c r="AC4" s="40" t="str">
        <f>D7</f>
        <v>Křepelová Kamila</v>
      </c>
      <c r="AD4" s="7" t="s">
        <v>8</v>
      </c>
      <c r="AE4" s="54" t="str">
        <f>D13</f>
        <v>Straková Adéla</v>
      </c>
      <c r="AF4" s="22" t="s">
        <v>119</v>
      </c>
      <c r="AG4" s="19" t="s">
        <v>113</v>
      </c>
      <c r="AH4" s="19" t="s">
        <v>119</v>
      </c>
      <c r="AI4" s="19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J4" s="52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K4" s="96">
        <f t="shared" ref="AK4:AK8" si="2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0</v>
      </c>
      <c r="AL4" s="13" t="s">
        <v>6</v>
      </c>
      <c r="AM4" s="27">
        <f t="shared" ref="AM4:AM8" si="3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35"/>
      <c r="AO4" s="37"/>
      <c r="AP4" s="37">
        <f>A6</f>
        <v>17</v>
      </c>
      <c r="AQ4" s="37">
        <f>A12</f>
        <v>15</v>
      </c>
      <c r="AR4" s="2" t="str">
        <f>IF(ISNA(MATCH(CONCATENATE(AP4,"-",AQ4),'sk C,D - Ženy'!AR$1:'sk C,D - Ženy'!AR$36,0)),  IF(ISNA(MATCH(CONCATENATE(AQ4,"-",AP4),'sk C,D - Ženy'!AR$1:'sk C,D - Ženy'!AR$36,0)),"",-1*MATCH(CONCATENATE(AQ4,"-",AP4),'sk C,D - Ženy'!AR$1:'sk C,D - Ženy'!AR$36,0) ),MATCH(CONCATENATE(AP4,"-",AQ4),'sk C,D - Ženy'!AR$1:'sk C,D - Ženy'!AR$36,0)       )</f>
        <v/>
      </c>
      <c r="AS4">
        <f>$A$10</f>
        <v>14</v>
      </c>
      <c r="AT4" s="123" t="e">
        <f t="shared" ref="AT4:AT8" ca="1" si="4">IF(AND(_xlfn.ISFORMULA(AF4),OR(LEN(AF4)&gt;0,LEN(AG4)&gt;0,LEN(AH4)&gt;0,LEN(AI4)&gt;0,LEN(AJ4)&gt;0)),"a","")</f>
        <v>#NAME?</v>
      </c>
      <c r="AU4">
        <f t="shared" si="0"/>
        <v>20</v>
      </c>
      <c r="AV4">
        <f t="shared" si="1"/>
        <v>33</v>
      </c>
      <c r="AW4" s="123"/>
      <c r="AX4" s="120" cm="1">
        <f t="array" aca="1" ref="AX4" ca="1">SUMIF($AP$3:$AP$36,INDIRECT(ADDRESS(ROW(),1)),$AU$3:$AU$36) + SUMIF($AQ$3:$AQ$36,INDIRECT(ADDRESS(ROW(),1)),$AV$3:$AV$36)</f>
        <v>176</v>
      </c>
      <c r="AY4" s="120" cm="1">
        <f t="array" aca="1" ref="AY4" ca="1">SUMIF($AP$3:$AP$36,INDIRECT(ADDRESS(ROW(),1)),$AV$3:$AV$36) + SUMIF($AQ$3:$AQ$36,INDIRECT(ADDRESS(ROW(),1)),$AU$3:$AU$36)</f>
        <v>125</v>
      </c>
      <c r="AZ4" s="120">
        <f ca="1">IFERROR(AX4/AY4,"")</f>
        <v>1.4079999999999999</v>
      </c>
      <c r="BA4" t="str">
        <f>IF($A4&gt;0,IF(VLOOKUP($A4,seznam!$A$2:$C$197,2)&gt;0,VLOOKUP($A4,seznam!$A$2:$C$197,2),"------"),"------")</f>
        <v>Solfronková Ema</v>
      </c>
    </row>
    <row r="5" spans="1:53">
      <c r="A5" s="196"/>
      <c r="B5"/>
      <c r="C5" s="134"/>
      <c r="D5" s="31" t="str">
        <f>IF(COUNTIF(seznam!$A$2:$A$25,A4)=1,VLOOKUP(A4,seznam!$A$2:$C$25,2,FALSE),"------")</f>
        <v>Solfronková Ema</v>
      </c>
      <c r="E5" s="143"/>
      <c r="F5" s="144"/>
      <c r="G5" s="145"/>
      <c r="H5" s="151"/>
      <c r="I5" s="130"/>
      <c r="J5" s="138"/>
      <c r="K5" s="151"/>
      <c r="L5" s="130"/>
      <c r="M5" s="138"/>
      <c r="N5" s="151"/>
      <c r="O5" s="130"/>
      <c r="P5" s="148"/>
      <c r="Q5" s="151"/>
      <c r="R5" s="130"/>
      <c r="S5" s="138"/>
      <c r="T5" s="151"/>
      <c r="U5" s="130"/>
      <c r="V5" s="157"/>
      <c r="W5" s="148"/>
      <c r="X5" s="148"/>
      <c r="Y5" s="138"/>
      <c r="Z5" s="132"/>
      <c r="AA5" s="198"/>
      <c r="AB5" s="193"/>
      <c r="AC5" s="40" t="str">
        <f>D9</f>
        <v>Klašková Alžběta</v>
      </c>
      <c r="AD5" s="7" t="s">
        <v>8</v>
      </c>
      <c r="AE5" s="54" t="str">
        <f>D11</f>
        <v>Pilitowská Ela</v>
      </c>
      <c r="AF5" s="22" t="s">
        <v>112</v>
      </c>
      <c r="AG5" s="19" t="s">
        <v>112</v>
      </c>
      <c r="AH5" s="19" t="s">
        <v>108</v>
      </c>
      <c r="AI5" s="19" t="s">
        <v>113</v>
      </c>
      <c r="AJ5" s="52" t="s">
        <v>112</v>
      </c>
      <c r="AK5" s="96">
        <f t="shared" si="2"/>
        <v>3</v>
      </c>
      <c r="AL5" s="13" t="s">
        <v>6</v>
      </c>
      <c r="AM5" s="27">
        <f t="shared" si="3"/>
        <v>2</v>
      </c>
      <c r="AN5" s="35"/>
      <c r="AO5" s="37"/>
      <c r="AP5" s="37">
        <f>A8</f>
        <v>16</v>
      </c>
      <c r="AQ5" s="37">
        <f>A10</f>
        <v>14</v>
      </c>
      <c r="AR5" s="2" t="str">
        <f>IF(ISNA(MATCH(CONCATENATE(AP5,"-",AQ5),'sk C,D - Ženy'!AR$1:'sk C,D - Ženy'!AR$36,0)),  IF(ISNA(MATCH(CONCATENATE(AQ5,"-",AP5),'sk C,D - Ženy'!AR$1:'sk C,D - Ženy'!AR$36,0)),"",-1*MATCH(CONCATENATE(AQ5,"-",AP5),'sk C,D - Ženy'!AR$1:'sk C,D - Ženy'!AR$36,0) ),MATCH(CONCATENATE(AP5,"-",AQ5),'sk C,D - Ženy'!AR$1:'sk C,D - Ženy'!AR$36,0)       )</f>
        <v/>
      </c>
      <c r="AS5">
        <f>$A$4</f>
        <v>13</v>
      </c>
      <c r="AT5" s="123" t="e">
        <f t="shared" ca="1" si="4"/>
        <v>#NAME?</v>
      </c>
      <c r="AU5">
        <f t="shared" si="0"/>
        <v>47</v>
      </c>
      <c r="AV5">
        <f t="shared" si="1"/>
        <v>49</v>
      </c>
      <c r="AW5" s="123"/>
      <c r="AX5" s="120"/>
      <c r="AY5" s="120"/>
      <c r="AZ5" s="120"/>
    </row>
    <row r="6" spans="1:53">
      <c r="A6" s="195">
        <v>17</v>
      </c>
      <c r="B6" s="24"/>
      <c r="C6" s="139">
        <v>2</v>
      </c>
      <c r="D6" s="34" t="str">
        <f>IF(COUNTIF(seznam!$A$2:$A$25,A6)=1,VLOOKUP(A6,seznam!$A$2:$C$25,3,FALSE),"------")</f>
        <v>STK Zbraslavec</v>
      </c>
      <c r="E6" s="149">
        <f>AM12</f>
        <v>0</v>
      </c>
      <c r="F6" s="129" t="s">
        <v>6</v>
      </c>
      <c r="G6" s="147">
        <f>AK12</f>
        <v>3</v>
      </c>
      <c r="H6" s="175"/>
      <c r="I6" s="176"/>
      <c r="J6" s="183"/>
      <c r="K6" s="150">
        <f>AK26</f>
        <v>0</v>
      </c>
      <c r="L6" s="129" t="s">
        <v>6</v>
      </c>
      <c r="M6" s="147">
        <f>AM26</f>
        <v>3</v>
      </c>
      <c r="N6" s="150">
        <f>AM32</f>
        <v>0</v>
      </c>
      <c r="O6" s="129" t="s">
        <v>6</v>
      </c>
      <c r="P6" s="129">
        <f>AK32</f>
        <v>3</v>
      </c>
      <c r="Q6" s="150">
        <f>AK4</f>
        <v>0</v>
      </c>
      <c r="R6" s="129" t="s">
        <v>6</v>
      </c>
      <c r="S6" s="147">
        <f>AM4</f>
        <v>3</v>
      </c>
      <c r="T6" s="150">
        <f>AK17</f>
        <v>1</v>
      </c>
      <c r="U6" s="129" t="s">
        <v>6</v>
      </c>
      <c r="V6" s="156">
        <f>AM17</f>
        <v>3</v>
      </c>
      <c r="W6" s="129">
        <f>E6+K6+N6+Q6+T6</f>
        <v>1</v>
      </c>
      <c r="X6" s="129" t="s">
        <v>6</v>
      </c>
      <c r="Y6" s="147">
        <f>G6+M6+P6+S6+V6</f>
        <v>15</v>
      </c>
      <c r="Z6" s="194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5</v>
      </c>
      <c r="AA6" s="199">
        <v>6</v>
      </c>
      <c r="AB6" s="192"/>
      <c r="AC6" s="40" t="str">
        <f>D20</f>
        <v>Žilková Elen</v>
      </c>
      <c r="AD6" s="7"/>
      <c r="AE6" s="54" t="str">
        <f>D30</f>
        <v>Maradová Eliška</v>
      </c>
      <c r="AF6" s="22" t="s">
        <v>99</v>
      </c>
      <c r="AG6" s="19" t="s">
        <v>112</v>
      </c>
      <c r="AH6" s="19" t="s">
        <v>109</v>
      </c>
      <c r="AI6" s="19" t="s">
        <v>124</v>
      </c>
      <c r="AJ6" s="52" t="s">
        <v>109</v>
      </c>
      <c r="AK6" s="96">
        <f t="shared" si="2"/>
        <v>2</v>
      </c>
      <c r="AL6" s="13" t="s">
        <v>6</v>
      </c>
      <c r="AM6" s="27">
        <f t="shared" si="3"/>
        <v>3</v>
      </c>
      <c r="AN6" s="35"/>
      <c r="AO6" s="37"/>
      <c r="AP6" s="37">
        <f>A19</f>
        <v>19</v>
      </c>
      <c r="AQ6" s="37">
        <f>A29</f>
        <v>20</v>
      </c>
      <c r="AR6" s="2" t="str">
        <f>IF(ISNA(MATCH(CONCATENATE(AP6,"-",AQ6),'sk C,D - Ženy'!AR$1:'sk C,D - Ženy'!AR$36,0)),  IF(ISNA(MATCH(CONCATENATE(AQ6,"-",AP6),'sk C,D - Ženy'!AR$1:'sk C,D - Ženy'!AR$36,0)),"",-1*MATCH(CONCATENATE(AQ6,"-",AP6),'sk C,D - Ženy'!AR$1:'sk C,D - Ženy'!AR$36,0) ),MATCH(CONCATENATE(AP6,"-",AQ6),'sk C,D - Ženy'!AR$1:'sk C,D - Ženy'!AR$36,0)       )</f>
        <v/>
      </c>
      <c r="AS6">
        <f>$A$23</f>
        <v>22</v>
      </c>
      <c r="AT6" s="123" t="e">
        <f t="shared" ca="1" si="4"/>
        <v>#NAME?</v>
      </c>
      <c r="AU6">
        <f t="shared" si="0"/>
        <v>34</v>
      </c>
      <c r="AV6">
        <f t="shared" si="1"/>
        <v>49</v>
      </c>
      <c r="AW6" s="123"/>
      <c r="AX6" s="120" cm="1">
        <f t="array" aca="1" ref="AX6" ca="1">SUMIF($AP$3:$AP$36,INDIRECT(ADDRESS(ROW(),1)),$AU$3:$AU$36) + SUMIF($AQ$3:$AQ$36,INDIRECT(ADDRESS(ROW(),1)),$AV$3:$AV$36)</f>
        <v>98</v>
      </c>
      <c r="AY6" s="120" cm="1">
        <f t="array" aca="1" ref="AY6" ca="1">SUMIF($AP$3:$AP$36,INDIRECT(ADDRESS(ROW(),1)),$AV$3:$AV$36) + SUMIF($AQ$3:$AQ$36,INDIRECT(ADDRESS(ROW(),1)),$AU$3:$AU$36)</f>
        <v>175</v>
      </c>
      <c r="AZ6" s="120">
        <f ca="1">IFERROR(AX6/AY6,"")</f>
        <v>0.56000000000000005</v>
      </c>
      <c r="BA6" t="str">
        <f>IF($A6&gt;0,IF(VLOOKUP($A6,seznam!$A$2:$C$197,2)&gt;0,VLOOKUP($A6,seznam!$A$2:$C$197,2),"------"),"------")</f>
        <v>Křepelová Kamila</v>
      </c>
    </row>
    <row r="7" spans="1:53">
      <c r="A7" s="196"/>
      <c r="B7"/>
      <c r="C7" s="134"/>
      <c r="D7" s="31" t="str">
        <f>IF(COUNTIF(seznam!$A$2:$A$25,A6)=1,VLOOKUP(A6,seznam!$A$2:$C$25,2,FALSE),"------")</f>
        <v>Křepelová Kamila</v>
      </c>
      <c r="E7" s="136"/>
      <c r="F7" s="130"/>
      <c r="G7" s="138"/>
      <c r="H7" s="184"/>
      <c r="I7" s="144"/>
      <c r="J7" s="145"/>
      <c r="K7" s="151"/>
      <c r="L7" s="130"/>
      <c r="M7" s="138"/>
      <c r="N7" s="151"/>
      <c r="O7" s="130"/>
      <c r="P7" s="148"/>
      <c r="Q7" s="151"/>
      <c r="R7" s="130"/>
      <c r="S7" s="138"/>
      <c r="T7" s="151"/>
      <c r="U7" s="130"/>
      <c r="V7" s="157"/>
      <c r="W7" s="148"/>
      <c r="X7" s="130"/>
      <c r="Y7" s="138"/>
      <c r="Z7" s="132"/>
      <c r="AA7" s="198"/>
      <c r="AB7" s="193"/>
      <c r="AC7" s="40" t="str">
        <f>D22</f>
        <v>Zouharová Beáta</v>
      </c>
      <c r="AD7" s="7"/>
      <c r="AE7" s="54" t="str">
        <f>D28</f>
        <v>Hasoňová Jana</v>
      </c>
      <c r="AF7" s="22" t="s">
        <v>104</v>
      </c>
      <c r="AG7" s="19" t="s">
        <v>109</v>
      </c>
      <c r="AH7" s="19" t="s">
        <v>104</v>
      </c>
      <c r="AI7" s="19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J7" s="52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K7" s="96">
        <f t="shared" si="2"/>
        <v>0</v>
      </c>
      <c r="AL7" s="13" t="s">
        <v>6</v>
      </c>
      <c r="AM7" s="27">
        <f t="shared" si="3"/>
        <v>3</v>
      </c>
      <c r="AN7" s="9"/>
      <c r="AO7" s="37"/>
      <c r="AP7" s="3">
        <f>A21</f>
        <v>24</v>
      </c>
      <c r="AQ7" s="3">
        <f>A27</f>
        <v>18</v>
      </c>
      <c r="AR7" s="2" t="str">
        <f>IF(ISNA(MATCH(CONCATENATE(AP7,"-",AQ7),'sk C,D - Ženy'!AR$1:'sk C,D - Ženy'!AR$36,0)),  IF(ISNA(MATCH(CONCATENATE(AQ7,"-",AP7),'sk C,D - Ženy'!AR$1:'sk C,D - Ženy'!AR$36,0)),"",-1*MATCH(CONCATENATE(AQ7,"-",AP7),'sk C,D - Ženy'!AR$1:'sk C,D - Ženy'!AR$36,0) ),MATCH(CONCATENATE(AP7,"-",AQ7),'sk C,D - Ženy'!AR$1:'sk C,D - Ženy'!AR$36,0)       )</f>
        <v/>
      </c>
      <c r="AS7">
        <f>$A$25</f>
        <v>21</v>
      </c>
      <c r="AT7" s="123" t="e">
        <f t="shared" ca="1" si="4"/>
        <v>#NAME?</v>
      </c>
      <c r="AU7">
        <f t="shared" si="0"/>
        <v>13</v>
      </c>
      <c r="AV7">
        <f t="shared" si="1"/>
        <v>33</v>
      </c>
      <c r="AW7" s="123"/>
      <c r="AX7" s="120"/>
      <c r="AY7" s="120"/>
      <c r="AZ7" s="120"/>
    </row>
    <row r="8" spans="1:53" ht="13.5" thickBot="1">
      <c r="A8" s="195">
        <v>16</v>
      </c>
      <c r="B8" s="24"/>
      <c r="C8" s="139">
        <v>3</v>
      </c>
      <c r="D8" s="34" t="str">
        <f>IF(COUNTIF(seznam!$A$2:$A$25,A8)=1,VLOOKUP(A8,seznam!$A$2:$C$25,3,FALSE),"------")</f>
        <v>KST FOSFA LVA</v>
      </c>
      <c r="E8" s="149">
        <f>AK18</f>
        <v>0</v>
      </c>
      <c r="F8" s="129" t="s">
        <v>6</v>
      </c>
      <c r="G8" s="147">
        <f>AM18</f>
        <v>3</v>
      </c>
      <c r="H8" s="150">
        <f>AM26</f>
        <v>3</v>
      </c>
      <c r="I8" s="129" t="s">
        <v>6</v>
      </c>
      <c r="J8" s="147">
        <f>AK26</f>
        <v>0</v>
      </c>
      <c r="K8" s="175"/>
      <c r="L8" s="176"/>
      <c r="M8" s="183"/>
      <c r="N8" s="150">
        <f>AK5</f>
        <v>3</v>
      </c>
      <c r="O8" s="129" t="s">
        <v>6</v>
      </c>
      <c r="P8" s="129">
        <f>AM5</f>
        <v>2</v>
      </c>
      <c r="Q8" s="150">
        <f>AM11</f>
        <v>2</v>
      </c>
      <c r="R8" s="129" t="s">
        <v>6</v>
      </c>
      <c r="S8" s="147">
        <f>AK11</f>
        <v>3</v>
      </c>
      <c r="T8" s="150">
        <f>AK31</f>
        <v>1</v>
      </c>
      <c r="U8" s="129" t="s">
        <v>6</v>
      </c>
      <c r="V8" s="156">
        <f>AM31</f>
        <v>3</v>
      </c>
      <c r="W8" s="129">
        <f>H8+E8+N8+Q8+T8</f>
        <v>9</v>
      </c>
      <c r="X8" s="129" t="s">
        <v>6</v>
      </c>
      <c r="Y8" s="147">
        <f>J8+G8+P8+S8+V8</f>
        <v>11</v>
      </c>
      <c r="Z8" s="194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7</v>
      </c>
      <c r="AA8" s="199">
        <v>5</v>
      </c>
      <c r="AB8" s="192"/>
      <c r="AC8" s="41" t="str">
        <f>D24</f>
        <v>Svobodová Kristýna</v>
      </c>
      <c r="AD8" s="42"/>
      <c r="AE8" s="55" t="str">
        <f>D26</f>
        <v>Krupková Klaudie</v>
      </c>
      <c r="AF8" s="43" t="s">
        <v>119</v>
      </c>
      <c r="AG8" s="44" t="s">
        <v>119</v>
      </c>
      <c r="AH8" s="44" t="s">
        <v>108</v>
      </c>
      <c r="AI8" s="44" t="str">
        <f>IF(ISNUMBER($AR8),
      IF(SIGN($AR8)&gt;=0,
           IF( ISBLANK(INDEX('sk C,D - Ženy'!$A$1:'sk C,D - Ženy'!$AM$36,ABS($AR8),COLUMN())),"", INDEX('sk C,D - Ženy'!$A$1:'sk C,D - Ženy'!$AM$36,ABS($AR8),COLUMN())),
           IF(MID(INDEX('sk C,D - Ženy'!$A$1:'sk C,D - Ženy'!$AM$36,ABS($AR8),COLUMN()),1,1)="-",
                MID(INDEX('sk C,D - Ženy'!$A$1:'sk C,D - Ženy'!$AM$36,ABS($AR8),COLUMN()),2,5),
                IF( ISBLANK(INDEX('sk C,D - Ženy'!$A$1:'sk C,D - Ženy'!$AM$36,ABS($AR8),COLUMN())), "",   CONCATENATE("-",INDEX('sk C,D - Ženy'!$A$1:'sk C,D - Ženy'!$AM$36,ABS($AR8),COLUMN()))   )
               )
          ),
        ""
      )</f>
        <v/>
      </c>
      <c r="AJ8" s="57" t="str">
        <f>IF(ISNUMBER($AR8),
      IF(SIGN($AR8)&gt;=0,
           IF( ISBLANK(INDEX('sk C,D - Ženy'!$A$1:'sk C,D - Ženy'!$AM$36,ABS($AR8),COLUMN())),"", INDEX('sk C,D - Ženy'!$A$1:'sk C,D - Ženy'!$AM$36,ABS($AR8),COLUMN())),
           IF(MID(INDEX('sk C,D - Ženy'!$A$1:'sk C,D - Ženy'!$AM$36,ABS($AR8),COLUMN()),1,1)="-",
                MID(INDEX('sk C,D - Ženy'!$A$1:'sk C,D - Ženy'!$AM$36,ABS($AR8),COLUMN()),2,5),
                IF( ISBLANK(INDEX('sk C,D - Ženy'!$A$1:'sk C,D - Ženy'!$AM$36,ABS($AR8),COLUMN())), "",   CONCATENATE("-",INDEX('sk C,D - Ženy'!$A$1:'sk C,D - Ženy'!$AM$36,ABS($AR8),COLUMN()))   )
               )
          ),
        ""
      )</f>
        <v/>
      </c>
      <c r="AK8" s="97">
        <f t="shared" si="2"/>
        <v>0</v>
      </c>
      <c r="AL8" s="46" t="s">
        <v>6</v>
      </c>
      <c r="AM8" s="47">
        <f t="shared" si="3"/>
        <v>3</v>
      </c>
      <c r="AN8" s="35"/>
      <c r="AO8" s="37"/>
      <c r="AP8" s="37">
        <f>A23</f>
        <v>22</v>
      </c>
      <c r="AQ8" s="37">
        <f>A25</f>
        <v>21</v>
      </c>
      <c r="AR8" s="2" t="str">
        <f>IF(ISNA(MATCH(CONCATENATE(AP8,"-",AQ8),'sk C,D - Ženy'!AR$1:'sk C,D - Ženy'!AR$36,0)),  IF(ISNA(MATCH(CONCATENATE(AQ8,"-",AP8),'sk C,D - Ženy'!AR$1:'sk C,D - Ženy'!AR$36,0)),"",-1*MATCH(CONCATENATE(AQ8,"-",AP8),'sk C,D - Ženy'!AR$1:'sk C,D - Ženy'!AR$36,0) ),MATCH(CONCATENATE(AP8,"-",AQ8),'sk C,D - Ženy'!AR$1:'sk C,D - Ženy'!AR$36,0)       )</f>
        <v/>
      </c>
      <c r="AS8">
        <f>$A$19</f>
        <v>19</v>
      </c>
      <c r="AT8" s="123" t="e">
        <f t="shared" ca="1" si="4"/>
        <v>#NAME?</v>
      </c>
      <c r="AU8">
        <f t="shared" si="0"/>
        <v>22</v>
      </c>
      <c r="AV8">
        <f t="shared" si="1"/>
        <v>33</v>
      </c>
      <c r="AW8" s="123"/>
      <c r="AX8" s="120" cm="1">
        <f t="array" aca="1" ref="AX8" ca="1">SUMIF($AP$3:$AP$36,INDIRECT(ADDRESS(ROW(),1)),$AU$3:$AU$36) + SUMIF($AQ$3:$AQ$36,INDIRECT(ADDRESS(ROW(),1)),$AV$3:$AV$36)</f>
        <v>166</v>
      </c>
      <c r="AY8" s="120" cm="1">
        <f t="array" aca="1" ref="AY8" ca="1">SUMIF($AP$3:$AP$36,INDIRECT(ADDRESS(ROW(),1)),$AV$3:$AV$36) + SUMIF($AQ$3:$AQ$36,INDIRECT(ADDRESS(ROW(),1)),$AU$3:$AU$36)</f>
        <v>183</v>
      </c>
      <c r="AZ8" s="120">
        <f ca="1">IFERROR(AX8/AY8,"")</f>
        <v>0.90710382513661203</v>
      </c>
      <c r="BA8" t="str">
        <f>IF($A8&gt;0,IF(VLOOKUP($A8,seznam!$A$2:$C$197,2)&gt;0,VLOOKUP($A8,seznam!$A$2:$C$197,2),"------"),"------")</f>
        <v>Klašková Alžběta</v>
      </c>
    </row>
    <row r="9" spans="1:53" ht="13.5" thickBot="1">
      <c r="A9" s="196"/>
      <c r="B9"/>
      <c r="C9" s="134"/>
      <c r="D9" s="31" t="str">
        <f>IF(COUNTIF(seznam!$A$2:$A$25,A8)=1,VLOOKUP(A8,seznam!$A$2:$C$25,2,FALSE),"------")</f>
        <v>Klašková Alžběta</v>
      </c>
      <c r="E9" s="136"/>
      <c r="F9" s="130"/>
      <c r="G9" s="138"/>
      <c r="H9" s="151"/>
      <c r="I9" s="130"/>
      <c r="J9" s="138"/>
      <c r="K9" s="184"/>
      <c r="L9" s="144"/>
      <c r="M9" s="145"/>
      <c r="N9" s="151"/>
      <c r="O9" s="130"/>
      <c r="P9" s="148"/>
      <c r="Q9" s="151"/>
      <c r="R9" s="130"/>
      <c r="S9" s="138"/>
      <c r="T9" s="151"/>
      <c r="U9" s="130"/>
      <c r="V9" s="157"/>
      <c r="W9" s="148"/>
      <c r="X9" s="148"/>
      <c r="Y9" s="138"/>
      <c r="Z9" s="132"/>
      <c r="AA9" s="198"/>
      <c r="AB9" s="193"/>
      <c r="AC9" s="4" t="s">
        <v>11</v>
      </c>
      <c r="AK9" s="98"/>
      <c r="AL9" s="9"/>
      <c r="AM9" s="9"/>
      <c r="AN9" s="35"/>
      <c r="AO9" s="37"/>
      <c r="AP9" s="37"/>
      <c r="AQ9" s="37"/>
      <c r="AR9" s="2" t="str">
        <f>IF(ISNA(MATCH(CONCATENATE(AP9,"-",AQ9),'sk C,D - Ženy'!AR$1:'sk C,D - Ženy'!AR$36,0)),  IF(ISNA(MATCH(CONCATENATE(AQ9,"-",AP9),'sk C,D - Ženy'!AR$1:'sk C,D - Ženy'!AR$36,0)),"",-1*MATCH(CONCATENATE(AQ9,"-",AP9),'sk C,D - Ženy'!AR$1:'sk C,D - Ženy'!AR$36,0) ),MATCH(CONCATENATE(AP9,"-",AQ9),'sk C,D - Ženy'!AR$1:'sk C,D - Ženy'!AR$36,0)       )</f>
        <v/>
      </c>
      <c r="AS9"/>
      <c r="AT9" s="123"/>
      <c r="AU9"/>
      <c r="AV9"/>
      <c r="AW9" s="123"/>
      <c r="AX9" s="120"/>
      <c r="AY9" s="120"/>
      <c r="AZ9" s="120"/>
    </row>
    <row r="10" spans="1:53">
      <c r="A10" s="195">
        <v>14</v>
      </c>
      <c r="B10" s="24"/>
      <c r="C10" s="139">
        <v>4</v>
      </c>
      <c r="D10" s="34" t="str">
        <f>IF(COUNTIF(seznam!$A$2:$A$25,A10)=1,VLOOKUP(A10,seznam!$A$2:$C$25,3,FALSE),"------")</f>
        <v>KST Blansko</v>
      </c>
      <c r="E10" s="149">
        <f>AM25</f>
        <v>1</v>
      </c>
      <c r="F10" s="129" t="s">
        <v>6</v>
      </c>
      <c r="G10" s="147">
        <f>AK25</f>
        <v>3</v>
      </c>
      <c r="H10" s="150">
        <f>AK32</f>
        <v>3</v>
      </c>
      <c r="I10" s="129" t="s">
        <v>6</v>
      </c>
      <c r="J10" s="147">
        <f>AM32</f>
        <v>0</v>
      </c>
      <c r="K10" s="150">
        <f>AM5</f>
        <v>2</v>
      </c>
      <c r="L10" s="129" t="s">
        <v>6</v>
      </c>
      <c r="M10" s="147">
        <f>AK5</f>
        <v>3</v>
      </c>
      <c r="N10" s="175"/>
      <c r="O10" s="176"/>
      <c r="P10" s="176"/>
      <c r="Q10" s="150">
        <f>AK19</f>
        <v>2</v>
      </c>
      <c r="R10" s="129" t="s">
        <v>6</v>
      </c>
      <c r="S10" s="147">
        <f>AM19</f>
        <v>3</v>
      </c>
      <c r="T10" s="150">
        <f>AM10</f>
        <v>3</v>
      </c>
      <c r="U10" s="129" t="s">
        <v>6</v>
      </c>
      <c r="V10" s="156">
        <f>AK10</f>
        <v>2</v>
      </c>
      <c r="W10" s="129">
        <f>H10+K10+E10+Q10+T10</f>
        <v>11</v>
      </c>
      <c r="X10" s="129" t="s">
        <v>6</v>
      </c>
      <c r="Y10" s="147">
        <f>J10+M10+G10+S10+V10</f>
        <v>11</v>
      </c>
      <c r="Z10" s="194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7</v>
      </c>
      <c r="AA10" s="199">
        <v>4</v>
      </c>
      <c r="AB10" s="192"/>
      <c r="AC10" s="39" t="str">
        <f>D15</f>
        <v>Jonášová Kristýna</v>
      </c>
      <c r="AD10" s="51" t="s">
        <v>8</v>
      </c>
      <c r="AE10" s="5" t="str">
        <f>D11</f>
        <v>Pilitowská Ela</v>
      </c>
      <c r="AF10" s="20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8</v>
      </c>
      <c r="AG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-5</v>
      </c>
      <c r="AH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8</v>
      </c>
      <c r="AI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-9</v>
      </c>
      <c r="AJ10" s="56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-5</v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2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23</v>
      </c>
      <c r="AQ10" s="37">
        <f>A10</f>
        <v>14</v>
      </c>
      <c r="AR10" s="2">
        <f>IF(ISNA(MATCH(CONCATENATE(AP10,"-",AQ10),'sk C,D - Ženy'!AR$1:'sk C,D - Ženy'!AR$36,0)),  IF(ISNA(MATCH(CONCATENATE(AQ10,"-",AP10),'sk C,D - Ženy'!AR$1:'sk C,D - Ženy'!AR$36,0)),"",-1*MATCH(CONCATENATE(AQ10,"-",AP10),'sk C,D - Ženy'!AR$1:'sk C,D - Ženy'!AR$36,0) ),MATCH(CONCATENATE(AP10,"-",AQ10),'sk C,D - Ženy'!AR$1:'sk C,D - Ženy'!AR$36,0)       )</f>
        <v>-6</v>
      </c>
      <c r="AS10">
        <f>$A$12</f>
        <v>15</v>
      </c>
      <c r="AT10" s="123" t="s">
        <v>122</v>
      </c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41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49</v>
      </c>
      <c r="AW10" s="123"/>
      <c r="AX10" s="120" cm="1">
        <f t="array" aca="1" ref="AX10" ca="1">SUMIF($AP$3:$AP$36,INDIRECT(ADDRESS(ROW(),1)),$AU$3:$AU$36) + SUMIF($AQ$3:$AQ$36,INDIRECT(ADDRESS(ROW(),1)),$AV$3:$AV$36)</f>
        <v>206</v>
      </c>
      <c r="AY10" s="120" cm="1">
        <f t="array" aca="1" ref="AY10" ca="1">SUMIF($AP$3:$AP$36,INDIRECT(ADDRESS(ROW(),1)),$AV$3:$AV$36) + SUMIF($AQ$3:$AQ$36,INDIRECT(ADDRESS(ROW(),1)),$AU$3:$AU$36)</f>
        <v>193</v>
      </c>
      <c r="AZ10" s="120">
        <f ca="1">IFERROR(AX10/AY10,"")</f>
        <v>1.0673575129533679</v>
      </c>
      <c r="BA10" t="str">
        <f>IF($A10&gt;0,IF(VLOOKUP($A10,seznam!$A$2:$C$197,2)&gt;0,VLOOKUP($A10,seznam!$A$2:$C$197,2),"------"),"------")</f>
        <v>Pilitowská Ela</v>
      </c>
    </row>
    <row r="11" spans="1:53">
      <c r="A11" s="196"/>
      <c r="B11"/>
      <c r="C11" s="134"/>
      <c r="D11" s="31" t="str">
        <f>IF(COUNTIF(seznam!$A$2:$A$25,A10)=1,VLOOKUP(A10,seznam!$A$2:$C$25,2,FALSE),"------")</f>
        <v>Pilitowská Ela</v>
      </c>
      <c r="E11" s="136"/>
      <c r="F11" s="130"/>
      <c r="G11" s="138"/>
      <c r="H11" s="151"/>
      <c r="I11" s="130"/>
      <c r="J11" s="138"/>
      <c r="K11" s="151"/>
      <c r="L11" s="130"/>
      <c r="M11" s="138"/>
      <c r="N11" s="184"/>
      <c r="O11" s="144"/>
      <c r="P11" s="144"/>
      <c r="Q11" s="151"/>
      <c r="R11" s="130"/>
      <c r="S11" s="138"/>
      <c r="T11" s="151"/>
      <c r="U11" s="130"/>
      <c r="V11" s="157"/>
      <c r="W11" s="148"/>
      <c r="X11" s="148"/>
      <c r="Y11" s="138"/>
      <c r="Z11" s="132"/>
      <c r="AA11" s="198"/>
      <c r="AB11" s="193"/>
      <c r="AC11" s="40" t="str">
        <f>D13</f>
        <v>Straková Adéla</v>
      </c>
      <c r="AD11" s="7" t="s">
        <v>8</v>
      </c>
      <c r="AE11" s="82" t="str">
        <f>D9</f>
        <v>Klašková Alžběta</v>
      </c>
      <c r="AF11" s="22" t="s">
        <v>98</v>
      </c>
      <c r="AG11" s="19" t="s">
        <v>108</v>
      </c>
      <c r="AH11" s="19" t="s">
        <v>98</v>
      </c>
      <c r="AI11" s="19" t="s">
        <v>107</v>
      </c>
      <c r="AJ11" s="52" t="s">
        <v>98</v>
      </c>
      <c r="AK11" s="96">
        <f t="shared" ref="AK11:AK15" si="7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3</v>
      </c>
      <c r="AL11" s="13" t="s">
        <v>6</v>
      </c>
      <c r="AM11" s="27">
        <f t="shared" ref="AM11:AM15" si="8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2</v>
      </c>
      <c r="AN11" s="35"/>
      <c r="AO11" s="37"/>
      <c r="AP11" s="37">
        <f>A12</f>
        <v>15</v>
      </c>
      <c r="AQ11" s="37">
        <f>A8</f>
        <v>16</v>
      </c>
      <c r="AR11" s="2" t="str">
        <f>IF(ISNA(MATCH(CONCATENATE(AP11,"-",AQ11),'sk C,D - Ženy'!AR$1:'sk C,D - Ženy'!AR$36,0)),  IF(ISNA(MATCH(CONCATENATE(AQ11,"-",AP11),'sk C,D - Ženy'!AR$1:'sk C,D - Ženy'!AR$36,0)),"",-1*MATCH(CONCATENATE(AQ11,"-",AP11),'sk C,D - Ženy'!AR$1:'sk C,D - Ženy'!AR$36,0) ),MATCH(CONCATENATE(AP11,"-",AQ11),'sk C,D - Ženy'!AR$1:'sk C,D - Ženy'!AR$36,0)       )</f>
        <v/>
      </c>
      <c r="AS11">
        <f>$A$6</f>
        <v>17</v>
      </c>
      <c r="AT11" s="123" t="e">
        <f t="shared" ref="AT10:AT15" ca="1" si="9">IF(AND(_xlfn.ISFORMULA(AF11),OR(LEN(AF11)&gt;0,LEN(AG11)&gt;0,LEN(AH11)&gt;0,LEN(AI11)&gt;0,LEN(AJ11)&gt;0)),"a","")</f>
        <v>#NAME?</v>
      </c>
      <c r="AU11">
        <f t="shared" si="5"/>
        <v>51</v>
      </c>
      <c r="AV11">
        <f t="shared" si="6"/>
        <v>38</v>
      </c>
      <c r="AW11" s="123"/>
      <c r="AX11" s="120"/>
      <c r="AY11" s="120"/>
      <c r="AZ11" s="120"/>
    </row>
    <row r="12" spans="1:53">
      <c r="A12" s="195">
        <v>15</v>
      </c>
      <c r="B12" s="24"/>
      <c r="C12" s="139">
        <v>5</v>
      </c>
      <c r="D12" s="34" t="str">
        <f>IF(COUNTIF(seznam!$A$2:$A$25,A12)=1,VLOOKUP(A12,seznam!$A$2:$C$25,3,FALSE),"------")</f>
        <v>Vlast Ježov</v>
      </c>
      <c r="E12" s="149">
        <f>AK33</f>
        <v>3</v>
      </c>
      <c r="F12" s="129" t="s">
        <v>6</v>
      </c>
      <c r="G12" s="147">
        <f>AM33</f>
        <v>1</v>
      </c>
      <c r="H12" s="150">
        <f>AM4</f>
        <v>3</v>
      </c>
      <c r="I12" s="129" t="s">
        <v>6</v>
      </c>
      <c r="J12" s="147">
        <f>AK4</f>
        <v>0</v>
      </c>
      <c r="K12" s="150">
        <f>AK11</f>
        <v>3</v>
      </c>
      <c r="L12" s="129" t="s">
        <v>6</v>
      </c>
      <c r="M12" s="147">
        <f>AM11</f>
        <v>2</v>
      </c>
      <c r="N12" s="150">
        <f>AM19</f>
        <v>3</v>
      </c>
      <c r="O12" s="129" t="s">
        <v>6</v>
      </c>
      <c r="P12" s="129">
        <f>AK19</f>
        <v>2</v>
      </c>
      <c r="Q12" s="175"/>
      <c r="R12" s="176"/>
      <c r="S12" s="183"/>
      <c r="T12" s="150">
        <f>AM24</f>
        <v>3</v>
      </c>
      <c r="U12" s="129" t="s">
        <v>6</v>
      </c>
      <c r="V12" s="156">
        <f>AK24</f>
        <v>2</v>
      </c>
      <c r="W12" s="129">
        <f>H12+K12+N12+E12+T12</f>
        <v>15</v>
      </c>
      <c r="X12" s="129" t="s">
        <v>6</v>
      </c>
      <c r="Y12" s="147">
        <f>J12+M12+P12+G12+V12</f>
        <v>7</v>
      </c>
      <c r="Z12" s="194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10</v>
      </c>
      <c r="AA12" s="199">
        <v>1</v>
      </c>
      <c r="AB12" s="192"/>
      <c r="AC12" s="40" t="str">
        <f>D5</f>
        <v>Solfronková Ema</v>
      </c>
      <c r="AD12" s="7" t="s">
        <v>8</v>
      </c>
      <c r="AE12" s="82" t="str">
        <f>D7</f>
        <v>Křepelová Kamila</v>
      </c>
      <c r="AF12" s="2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3</v>
      </c>
      <c r="AG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5</v>
      </c>
      <c r="AH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7</v>
      </c>
      <c r="AI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J12" s="5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K12" s="96">
        <f t="shared" si="7"/>
        <v>3</v>
      </c>
      <c r="AL12" s="13" t="s">
        <v>6</v>
      </c>
      <c r="AM12" s="27">
        <f t="shared" si="8"/>
        <v>0</v>
      </c>
      <c r="AN12" s="9"/>
      <c r="AO12" s="37"/>
      <c r="AP12" s="3">
        <f>A4</f>
        <v>13</v>
      </c>
      <c r="AQ12" s="3">
        <f>A6</f>
        <v>17</v>
      </c>
      <c r="AR12" s="2">
        <f>IF(ISNA(MATCH(CONCATENATE(AP12,"-",AQ12),'sk C,D - Ženy'!AR$1:'sk C,D - Ženy'!AR$36,0)),  IF(ISNA(MATCH(CONCATENATE(AQ12,"-",AP12),'sk C,D - Ženy'!AR$1:'sk C,D - Ženy'!AR$36,0)),"",-1*MATCH(CONCATENATE(AQ12,"-",AP12),'sk C,D - Ženy'!AR$1:'sk C,D - Ženy'!AR$36,0) ),MATCH(CONCATENATE(AP12,"-",AQ12),'sk C,D - Ženy'!AR$1:'sk C,D - Ženy'!AR$36,0)       )</f>
        <v>25</v>
      </c>
      <c r="AS12">
        <f>$A$14</f>
        <v>23</v>
      </c>
      <c r="AT12" s="123" t="s">
        <v>122</v>
      </c>
      <c r="AU12">
        <f t="shared" si="5"/>
        <v>33</v>
      </c>
      <c r="AV12">
        <f t="shared" si="6"/>
        <v>15</v>
      </c>
      <c r="AW12" s="123"/>
      <c r="AX12" s="120" cm="1">
        <f t="array" aca="1" ref="AX12" ca="1">SUMIF($AP$3:$AP$36,INDIRECT(ADDRESS(ROW(),1)),$AU$3:$AU$36) + SUMIF($AQ$3:$AQ$36,INDIRECT(ADDRESS(ROW(),1)),$AV$3:$AV$36)</f>
        <v>215</v>
      </c>
      <c r="AY12" s="120" cm="1">
        <f t="array" aca="1" ref="AY12" ca="1">SUMIF($AP$3:$AP$36,INDIRECT(ADDRESS(ROW(),1)),$AV$3:$AV$36) + SUMIF($AQ$3:$AQ$36,INDIRECT(ADDRESS(ROW(),1)),$AU$3:$AU$36)</f>
        <v>183</v>
      </c>
      <c r="AZ12" s="120">
        <f ca="1">IFERROR(AX12/AY12,"")</f>
        <v>1.174863387978142</v>
      </c>
      <c r="BA12" t="str">
        <f>IF($A12&gt;0,IF(VLOOKUP($A12,seznam!$A$2:$C$197,2)&gt;0,VLOOKUP($A12,seznam!$A$2:$C$197,2),"------"),"------")</f>
        <v>Straková Adéla</v>
      </c>
    </row>
    <row r="13" spans="1:53">
      <c r="A13" s="196"/>
      <c r="B13"/>
      <c r="C13" s="134"/>
      <c r="D13" s="31" t="str">
        <f>IF(COUNTIF(seznam!$A$2:$A$25,A12)=1,VLOOKUP(A12,seznam!$A$2:$C$25,2,FALSE),"------")</f>
        <v>Straková Adéla</v>
      </c>
      <c r="E13" s="136"/>
      <c r="F13" s="130"/>
      <c r="G13" s="138"/>
      <c r="H13" s="151"/>
      <c r="I13" s="130"/>
      <c r="J13" s="138"/>
      <c r="K13" s="151"/>
      <c r="L13" s="130"/>
      <c r="M13" s="138"/>
      <c r="N13" s="151"/>
      <c r="O13" s="130"/>
      <c r="P13" s="148"/>
      <c r="Q13" s="184"/>
      <c r="R13" s="144"/>
      <c r="S13" s="145"/>
      <c r="T13" s="151"/>
      <c r="U13" s="130"/>
      <c r="V13" s="182"/>
      <c r="W13" s="148"/>
      <c r="X13" s="148"/>
      <c r="Y13" s="138"/>
      <c r="Z13" s="132"/>
      <c r="AA13" s="200"/>
      <c r="AB13" s="193"/>
      <c r="AC13" s="40" t="str">
        <f>D30</f>
        <v>Maradová Eliška</v>
      </c>
      <c r="AD13" s="7"/>
      <c r="AE13" s="82" t="str">
        <f>D26</f>
        <v>Krupková Klaudie</v>
      </c>
      <c r="AF13" s="2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10</v>
      </c>
      <c r="AG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-4</v>
      </c>
      <c r="AH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7</v>
      </c>
      <c r="AI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-6</v>
      </c>
      <c r="AJ13" s="5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-9</v>
      </c>
      <c r="AK13" s="96">
        <f t="shared" si="7"/>
        <v>2</v>
      </c>
      <c r="AL13" s="13" t="s">
        <v>6</v>
      </c>
      <c r="AM13" s="27">
        <f t="shared" si="8"/>
        <v>3</v>
      </c>
      <c r="AN13" s="35"/>
      <c r="AO13" s="37"/>
      <c r="AP13" s="37">
        <f>A29</f>
        <v>20</v>
      </c>
      <c r="AQ13" s="37">
        <f>A25</f>
        <v>21</v>
      </c>
      <c r="AR13" s="2">
        <f>IF(ISNA(MATCH(CONCATENATE(AP13,"-",AQ13),'sk C,D - Ženy'!AR$1:'sk C,D - Ženy'!AR$36,0)),  IF(ISNA(MATCH(CONCATENATE(AQ13,"-",AP13),'sk C,D - Ženy'!AR$1:'sk C,D - Ženy'!AR$36,0)),"",-1*MATCH(CONCATENATE(AQ13,"-",AP13),'sk C,D - Ženy'!AR$1:'sk C,D - Ženy'!AR$36,0) ),MATCH(CONCATENATE(AP13,"-",AQ13),'sk C,D - Ženy'!AR$1:'sk C,D - Ženy'!AR$36,0)       )</f>
        <v>-29</v>
      </c>
      <c r="AS13">
        <f>$A$27</f>
        <v>18</v>
      </c>
      <c r="AT13" s="123" t="s">
        <v>122</v>
      </c>
      <c r="AU13">
        <f t="shared" si="5"/>
        <v>42</v>
      </c>
      <c r="AV13">
        <f t="shared" si="6"/>
        <v>50</v>
      </c>
      <c r="AW13" s="123"/>
      <c r="AX13" s="120"/>
      <c r="AY13" s="120"/>
      <c r="AZ13" s="120"/>
    </row>
    <row r="14" spans="1:53">
      <c r="A14" s="195">
        <v>23</v>
      </c>
      <c r="B14" s="24"/>
      <c r="C14" s="139">
        <v>6</v>
      </c>
      <c r="D14" s="34" t="str">
        <f>IF(COUNTIF(seznam!$A$2:$A$25,A14)=1,VLOOKUP(A14,seznam!$A$2:$C$25,3,FALSE),"------")</f>
        <v>STK Zbraslavec</v>
      </c>
      <c r="E14" s="149">
        <f>AM3</f>
        <v>0</v>
      </c>
      <c r="F14" s="129" t="s">
        <v>6</v>
      </c>
      <c r="G14" s="147">
        <f>AK3</f>
        <v>3</v>
      </c>
      <c r="H14" s="150">
        <f>AM17</f>
        <v>3</v>
      </c>
      <c r="I14" s="129" t="s">
        <v>6</v>
      </c>
      <c r="J14" s="147">
        <f>AK17</f>
        <v>1</v>
      </c>
      <c r="K14" s="150">
        <f>AM31</f>
        <v>3</v>
      </c>
      <c r="L14" s="129" t="s">
        <v>6</v>
      </c>
      <c r="M14" s="147">
        <f>AK31</f>
        <v>1</v>
      </c>
      <c r="N14" s="150">
        <f>AK10</f>
        <v>2</v>
      </c>
      <c r="O14" s="129" t="s">
        <v>6</v>
      </c>
      <c r="P14" s="129">
        <f>AM10</f>
        <v>3</v>
      </c>
      <c r="Q14" s="150">
        <f>AK24</f>
        <v>2</v>
      </c>
      <c r="R14" s="129" t="s">
        <v>6</v>
      </c>
      <c r="S14" s="147">
        <f>AM24</f>
        <v>3</v>
      </c>
      <c r="T14" s="175"/>
      <c r="U14" s="176"/>
      <c r="V14" s="177"/>
      <c r="W14" s="129">
        <f>H14+K14+N14+Q14+E14</f>
        <v>10</v>
      </c>
      <c r="X14" s="129" t="s">
        <v>6</v>
      </c>
      <c r="Y14" s="147">
        <f>J14+M14+P14+S14+G14</f>
        <v>11</v>
      </c>
      <c r="Z14" s="131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7</v>
      </c>
      <c r="AA14" s="199">
        <v>3</v>
      </c>
      <c r="AB14" s="192"/>
      <c r="AC14" s="40" t="str">
        <f>D28</f>
        <v>Hasoňová Jana</v>
      </c>
      <c r="AD14" s="7"/>
      <c r="AE14" s="82" t="str">
        <f>D24</f>
        <v>Svobodová Kristýna</v>
      </c>
      <c r="AF14" s="22" t="s">
        <v>108</v>
      </c>
      <c r="AG14" s="19" t="s">
        <v>106</v>
      </c>
      <c r="AH14" s="19" t="s">
        <v>119</v>
      </c>
      <c r="AI14" s="19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J14" s="52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K14" s="96">
        <f t="shared" si="7"/>
        <v>0</v>
      </c>
      <c r="AL14" s="13" t="s">
        <v>6</v>
      </c>
      <c r="AM14" s="27">
        <f t="shared" si="8"/>
        <v>3</v>
      </c>
      <c r="AN14" s="35"/>
      <c r="AO14" s="37"/>
      <c r="AP14" s="37">
        <f>A27</f>
        <v>18</v>
      </c>
      <c r="AQ14" s="37">
        <f>A23</f>
        <v>22</v>
      </c>
      <c r="AR14" s="2" t="str">
        <f>IF(ISNA(MATCH(CONCATENATE(AP14,"-",AQ14),'sk C,D - Ženy'!AR$1:'sk C,D - Ženy'!AR$36,0)),  IF(ISNA(MATCH(CONCATENATE(AQ14,"-",AP14),'sk C,D - Ženy'!AR$1:'sk C,D - Ženy'!AR$36,0)),"",-1*MATCH(CONCATENATE(AQ14,"-",AP14),'sk C,D - Ženy'!AR$1:'sk C,D - Ženy'!AR$36,0) ),MATCH(CONCATENATE(AP14,"-",AQ14),'sk C,D - Ženy'!AR$1:'sk C,D - Ženy'!AR$36,0)       )</f>
        <v/>
      </c>
      <c r="AS14">
        <f>$A$21</f>
        <v>24</v>
      </c>
      <c r="AT14" s="123" t="e">
        <f t="shared" ca="1" si="9"/>
        <v>#NAME?</v>
      </c>
      <c r="AU14">
        <f t="shared" si="5"/>
        <v>18</v>
      </c>
      <c r="AV14">
        <f t="shared" si="6"/>
        <v>33</v>
      </c>
      <c r="AW14" s="123"/>
      <c r="AX14" s="120" cm="1">
        <f t="array" aca="1" ref="AX14" ca="1">SUMIF($AP$3:$AP$36,INDIRECT(ADDRESS(ROW(),1)),$AU$3:$AU$36) + SUMIF($AQ$3:$AQ$36,INDIRECT(ADDRESS(ROW(),1)),$AV$3:$AV$36)</f>
        <v>184</v>
      </c>
      <c r="AY14" s="120" cm="1">
        <f t="array" aca="1" ref="AY14" ca="1">SUMIF($AP$3:$AP$36,INDIRECT(ADDRESS(ROW(),1)),$AV$3:$AV$36) + SUMIF($AQ$3:$AQ$36,INDIRECT(ADDRESS(ROW(),1)),$AU$3:$AU$36)</f>
        <v>186</v>
      </c>
      <c r="AZ14" s="120">
        <f ca="1">IFERROR(AX14/AY14,"")</f>
        <v>0.989247311827957</v>
      </c>
      <c r="BA14" t="str">
        <f>IF($A14&gt;0,IF(VLOOKUP($A14,seznam!$A$2:$C$197,2)&gt;0,VLOOKUP($A14,seznam!$A$2:$C$197,2),"------"),"------")</f>
        <v>Jonášová Kristýna</v>
      </c>
    </row>
    <row r="15" spans="1:53" ht="13.5" thickBot="1">
      <c r="A15" s="196"/>
      <c r="B15"/>
      <c r="C15" s="174"/>
      <c r="D15" s="32" t="str">
        <f>IF(COUNTIF(seznam!$A$2:$A$25,A14)=1,VLOOKUP(A14,seznam!$A$2:$C$25,2,FALSE),"------")</f>
        <v>Jonášová Kristýna</v>
      </c>
      <c r="E15" s="161"/>
      <c r="F15" s="155"/>
      <c r="G15" s="163"/>
      <c r="H15" s="158"/>
      <c r="I15" s="155"/>
      <c r="J15" s="163"/>
      <c r="K15" s="158"/>
      <c r="L15" s="155"/>
      <c r="M15" s="163"/>
      <c r="N15" s="158"/>
      <c r="O15" s="155"/>
      <c r="P15" s="181"/>
      <c r="Q15" s="158"/>
      <c r="R15" s="155"/>
      <c r="S15" s="163"/>
      <c r="T15" s="178"/>
      <c r="U15" s="179"/>
      <c r="V15" s="180"/>
      <c r="W15" s="181"/>
      <c r="X15" s="155"/>
      <c r="Y15" s="163"/>
      <c r="Z15" s="162"/>
      <c r="AA15" s="201"/>
      <c r="AB15" s="193"/>
      <c r="AC15" s="41" t="str">
        <f>D20</f>
        <v>Žilková Elen</v>
      </c>
      <c r="AD15" s="42"/>
      <c r="AE15" s="60" t="str">
        <f>D22</f>
        <v>Zouharová Beáta</v>
      </c>
      <c r="AF15" s="43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2</v>
      </c>
      <c r="AG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3</v>
      </c>
      <c r="AH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9</v>
      </c>
      <c r="AI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J15" s="57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K15" s="97">
        <f t="shared" si="7"/>
        <v>3</v>
      </c>
      <c r="AL15" s="46" t="s">
        <v>6</v>
      </c>
      <c r="AM15" s="47">
        <f t="shared" si="8"/>
        <v>0</v>
      </c>
      <c r="AN15" s="35"/>
      <c r="AO15" s="37"/>
      <c r="AP15" s="37">
        <f>A19</f>
        <v>19</v>
      </c>
      <c r="AQ15" s="37">
        <f>A21</f>
        <v>24</v>
      </c>
      <c r="AR15" s="2">
        <f>IF(ISNA(MATCH(CONCATENATE(AP15,"-",AQ15),'sk C,D - Ženy'!AR$1:'sk C,D - Ženy'!AR$36,0)),  IF(ISNA(MATCH(CONCATENATE(AQ15,"-",AP15),'sk C,D - Ženy'!AR$1:'sk C,D - Ženy'!AR$36,0)),"",-1*MATCH(CONCATENATE(AQ15,"-",AP15),'sk C,D - Ženy'!AR$1:'sk C,D - Ženy'!AR$36,0) ),MATCH(CONCATENATE(AP15,"-",AQ15),'sk C,D - Ženy'!AR$1:'sk C,D - Ženy'!AR$36,0)       )</f>
        <v>31</v>
      </c>
      <c r="AS15">
        <f>$A$29</f>
        <v>20</v>
      </c>
      <c r="AT15" s="123" t="s">
        <v>122</v>
      </c>
      <c r="AU15">
        <f t="shared" si="5"/>
        <v>33</v>
      </c>
      <c r="AV15">
        <f t="shared" si="6"/>
        <v>14</v>
      </c>
      <c r="AW15" s="123"/>
      <c r="AX15" s="120"/>
      <c r="AY15" s="120"/>
      <c r="AZ15" s="120"/>
    </row>
    <row r="16" spans="1:53" ht="13.5" thickBot="1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37"/>
      <c r="AR16" s="2" t="str">
        <f>IF(ISNA(MATCH(CONCATENATE(AP16,"-",AQ16),'sk C,D - Ženy'!AR$1:'sk C,D - Ženy'!AR$36,0)),  IF(ISNA(MATCH(CONCATENATE(AQ16,"-",AP16),'sk C,D - Ženy'!AR$1:'sk C,D - Ženy'!AR$36,0)),"",-1*MATCH(CONCATENATE(AQ16,"-",AP16),'sk C,D - Ženy'!AR$1:'sk C,D - Ženy'!AR$36,0) ),MATCH(CONCATENATE(AP16,"-",AQ16),'sk C,D - Ženy'!AR$1:'sk C,D - Ženy'!AR$36,0)       )</f>
        <v/>
      </c>
      <c r="AS16"/>
      <c r="AT16" s="123"/>
      <c r="AU16"/>
      <c r="AV16"/>
      <c r="AW16" s="123"/>
      <c r="AX16" s="120"/>
      <c r="AY16" s="120"/>
      <c r="AZ16" s="120"/>
    </row>
    <row r="17" spans="1:53">
      <c r="C17" s="188" t="s">
        <v>40</v>
      </c>
      <c r="D17" s="189"/>
      <c r="E17" s="188">
        <v>1</v>
      </c>
      <c r="F17" s="166"/>
      <c r="G17" s="166"/>
      <c r="H17" s="169">
        <v>2</v>
      </c>
      <c r="I17" s="166"/>
      <c r="J17" s="166"/>
      <c r="K17" s="169">
        <v>3</v>
      </c>
      <c r="L17" s="166"/>
      <c r="M17" s="166"/>
      <c r="N17" s="169">
        <v>4</v>
      </c>
      <c r="O17" s="166"/>
      <c r="P17" s="166"/>
      <c r="Q17" s="169">
        <v>5</v>
      </c>
      <c r="R17" s="166"/>
      <c r="S17" s="166"/>
      <c r="T17" s="169">
        <v>6</v>
      </c>
      <c r="U17" s="166"/>
      <c r="V17" s="189"/>
      <c r="W17" s="165" t="s">
        <v>3</v>
      </c>
      <c r="X17" s="166"/>
      <c r="Y17" s="166"/>
      <c r="Z17" s="169"/>
      <c r="AA17" s="170"/>
      <c r="AC17" s="39" t="str">
        <f>D7</f>
        <v>Křepelová Kamila</v>
      </c>
      <c r="AD17" s="51" t="s">
        <v>8</v>
      </c>
      <c r="AE17" s="5" t="str">
        <f>D15</f>
        <v>Jonášová Kristýna</v>
      </c>
      <c r="AF17" s="20" t="s">
        <v>108</v>
      </c>
      <c r="AG17" s="21" t="s">
        <v>101</v>
      </c>
      <c r="AH17" s="21" t="s">
        <v>113</v>
      </c>
      <c r="AI17" s="21" t="s">
        <v>113</v>
      </c>
      <c r="AJ17" s="56" t="str">
        <f>IF(ISNUMBER($AR17),
      IF(SIGN($AR17)&gt;=0,
           IF( ISBLANK(INDEX('sk C,D - Ženy'!$A$1:'sk C,D - Ženy'!$AM$36,ABS($AR17),COLUMN())),"", INDEX('sk C,D - Ženy'!$A$1:'sk C,D - Ženy'!$AM$36,ABS($AR17),COLUMN())),
           IF(MID(INDEX('sk C,D - Ženy'!$A$1:'sk C,D - Ženy'!$AM$36,ABS($AR17),COLUMN()),1,1)="-",
                MID(INDEX('sk C,D - Ženy'!$A$1:'sk C,D - Ženy'!$AM$36,ABS($AR17),COLUMN()),2,5),
                IF( ISBLANK(INDEX('sk C,D - Ženy'!$A$1:'sk C,D - Ženy'!$AM$36,ABS($AR17),COLUMN())), "",   CONCATENATE("-",INDEX('sk C,D - Ženy'!$A$1:'sk C,D - Ženy'!$AM$36,ABS($AR17),COLUMN()))   )
               )
          ),
        ""
      )</f>
        <v/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1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3</v>
      </c>
      <c r="AN17" s="9"/>
      <c r="AO17" s="37"/>
      <c r="AP17" s="3">
        <f>A6</f>
        <v>17</v>
      </c>
      <c r="AQ17" s="3">
        <f>A14</f>
        <v>23</v>
      </c>
      <c r="AR17" s="2" t="str">
        <f>IF(ISNA(MATCH(CONCATENATE(AP17,"-",AQ17),'sk C,D - Ženy'!AR$1:'sk C,D - Ženy'!AR$36,0)),  IF(ISNA(MATCH(CONCATENATE(AQ17,"-",AP17),'sk C,D - Ženy'!AR$1:'sk C,D - Ženy'!AR$36,0)),"",-1*MATCH(CONCATENATE(AQ17,"-",AP17),'sk C,D - Ženy'!AR$1:'sk C,D - Ženy'!AR$36,0) ),MATCH(CONCATENATE(AP17,"-",AQ17),'sk C,D - Ženy'!AR$1:'sk C,D - Ženy'!AR$36,0)       )</f>
        <v/>
      </c>
      <c r="AS17">
        <f>$A$10</f>
        <v>14</v>
      </c>
      <c r="AT17" s="123" t="e">
        <f t="shared" ref="AT17:AT22" ca="1" si="10">IF(AND(_xlfn.ISFORMULA(AF17),OR(LEN(AF17)&gt;0,LEN(AG17)&gt;0,LEN(AH17)&gt;0,LEN(AI17)&gt;0,LEN(AJ17)&gt;0)),"a","")</f>
        <v>#NAME?</v>
      </c>
      <c r="AU17">
        <f t="shared" ref="AU17:AU22" si="11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31</v>
      </c>
      <c r="AV17">
        <f t="shared" ref="AV17:AV22" si="12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41</v>
      </c>
      <c r="AW17" s="123"/>
      <c r="AX17" s="120"/>
      <c r="AY17" s="120"/>
      <c r="AZ17" s="120"/>
    </row>
    <row r="18" spans="1:53" ht="13.5" thickBot="1">
      <c r="A18"/>
      <c r="B18"/>
      <c r="C18" s="190"/>
      <c r="D18" s="171"/>
      <c r="E18" s="190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71"/>
      <c r="W18" s="167"/>
      <c r="X18" s="168"/>
      <c r="Y18" s="168"/>
      <c r="Z18" s="168"/>
      <c r="AA18" s="171"/>
      <c r="AC18" s="40" t="str">
        <f>D9</f>
        <v>Klašková Alžběta</v>
      </c>
      <c r="AD18" s="7" t="s">
        <v>8</v>
      </c>
      <c r="AE18" s="82" t="str">
        <f>D5</f>
        <v>Solfronková Ema</v>
      </c>
      <c r="AF18" s="2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-5</v>
      </c>
      <c r="AG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-9</v>
      </c>
      <c r="AH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-8</v>
      </c>
      <c r="AI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J18" s="5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K18" s="96">
        <f t="shared" ref="AK18:AK22" si="13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0</v>
      </c>
      <c r="AL18" s="13" t="s">
        <v>6</v>
      </c>
      <c r="AM18" s="27">
        <f t="shared" ref="AM18:AM22" si="14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16</v>
      </c>
      <c r="AQ18" s="37">
        <f>A4</f>
        <v>13</v>
      </c>
      <c r="AR18" s="2">
        <f>IF(ISNA(MATCH(CONCATENATE(AP18,"-",AQ18),'sk C,D - Ženy'!AR$1:'sk C,D - Ženy'!AR$36,0)),  IF(ISNA(MATCH(CONCATENATE(AQ18,"-",AP18),'sk C,D - Ženy'!AR$1:'sk C,D - Ženy'!AR$36,0)),"",-1*MATCH(CONCATENATE(AQ18,"-",AP18),'sk C,D - Ženy'!AR$1:'sk C,D - Ženy'!AR$36,0) ),MATCH(CONCATENATE(AP18,"-",AQ18),'sk C,D - Ženy'!AR$1:'sk C,D - Ženy'!AR$36,0)       )</f>
        <v>33</v>
      </c>
      <c r="AS18">
        <f>$A$12</f>
        <v>15</v>
      </c>
      <c r="AT18" s="123" t="s">
        <v>122</v>
      </c>
      <c r="AU18">
        <f t="shared" si="11"/>
        <v>22</v>
      </c>
      <c r="AV18">
        <f t="shared" si="12"/>
        <v>33</v>
      </c>
      <c r="AW18" s="123"/>
      <c r="AX18" s="120"/>
      <c r="AY18" s="120"/>
      <c r="AZ18" s="120"/>
    </row>
    <row r="19" spans="1:53">
      <c r="A19" s="195">
        <v>19</v>
      </c>
      <c r="B19" s="24"/>
      <c r="C19" s="139">
        <v>1</v>
      </c>
      <c r="D19" s="29" t="str">
        <f>IF(COUNTIF(seznam!$A$2:$A$25,A19)=1,VLOOKUP(A19,seznam!$A$2:$C$25,3,FALSE),"------")</f>
        <v>Prace</v>
      </c>
      <c r="E19" s="140"/>
      <c r="F19" s="141"/>
      <c r="G19" s="142"/>
      <c r="H19" s="152">
        <f>AK15</f>
        <v>3</v>
      </c>
      <c r="I19" s="146" t="s">
        <v>6</v>
      </c>
      <c r="J19" s="153">
        <f>AM15</f>
        <v>0</v>
      </c>
      <c r="K19" s="152">
        <f>AM21</f>
        <v>3</v>
      </c>
      <c r="L19" s="146" t="s">
        <v>6</v>
      </c>
      <c r="M19" s="153">
        <f>AK21</f>
        <v>2</v>
      </c>
      <c r="N19" s="152">
        <f>AK28</f>
        <v>3</v>
      </c>
      <c r="O19" s="146" t="s">
        <v>6</v>
      </c>
      <c r="P19" s="146">
        <f>AM28</f>
        <v>2</v>
      </c>
      <c r="Q19" s="152">
        <f>AM36</f>
        <v>0</v>
      </c>
      <c r="R19" s="146" t="s">
        <v>6</v>
      </c>
      <c r="S19" s="153">
        <f>AK36</f>
        <v>3</v>
      </c>
      <c r="T19" s="152">
        <f>AK6</f>
        <v>2</v>
      </c>
      <c r="U19" s="146" t="s">
        <v>6</v>
      </c>
      <c r="V19" s="186">
        <f>AM6</f>
        <v>3</v>
      </c>
      <c r="W19" s="129">
        <f>H19+K19+N19+Q19+T19</f>
        <v>11</v>
      </c>
      <c r="X19" s="129" t="s">
        <v>6</v>
      </c>
      <c r="Y19" s="147">
        <f>J19+M19+P19+S19+V19</f>
        <v>10</v>
      </c>
      <c r="Z19" s="194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8</v>
      </c>
      <c r="AA19" s="199">
        <v>10</v>
      </c>
      <c r="AB19" s="192"/>
      <c r="AC19" s="40" t="str">
        <f>D11</f>
        <v>Pilitowská Ela</v>
      </c>
      <c r="AD19" s="7" t="s">
        <v>8</v>
      </c>
      <c r="AE19" s="82" t="str">
        <f>D13</f>
        <v>Straková Adéla</v>
      </c>
      <c r="AF19" s="2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6</v>
      </c>
      <c r="AG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5</v>
      </c>
      <c r="AH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-5</v>
      </c>
      <c r="AI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-10</v>
      </c>
      <c r="AJ19" s="5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-5</v>
      </c>
      <c r="AK19" s="96">
        <f t="shared" si="13"/>
        <v>2</v>
      </c>
      <c r="AL19" s="13" t="s">
        <v>6</v>
      </c>
      <c r="AM19" s="27">
        <f t="shared" si="14"/>
        <v>3</v>
      </c>
      <c r="AN19" s="35"/>
      <c r="AO19" s="37"/>
      <c r="AP19" s="37">
        <f>A10</f>
        <v>14</v>
      </c>
      <c r="AQ19" s="37">
        <f>A12</f>
        <v>15</v>
      </c>
      <c r="AR19" s="2">
        <f>IF(ISNA(MATCH(CONCATENATE(AP19,"-",AQ19),'sk C,D - Ženy'!AR$1:'sk C,D - Ženy'!AR$36,0)),  IF(ISNA(MATCH(CONCATENATE(AQ19,"-",AP19),'sk C,D - Ženy'!AR$1:'sk C,D - Ženy'!AR$36,0)),"",-1*MATCH(CONCATENATE(AQ19,"-",AP19),'sk C,D - Ženy'!AR$1:'sk C,D - Ženy'!AR$36,0) ),MATCH(CONCATENATE(AP19,"-",AQ19),'sk C,D - Ženy'!AR$1:'sk C,D - Ženy'!AR$36,0)       )</f>
        <v>-36</v>
      </c>
      <c r="AS19">
        <f>$A$6</f>
        <v>17</v>
      </c>
      <c r="AT19" s="123" t="s">
        <v>122</v>
      </c>
      <c r="AU19">
        <f t="shared" si="11"/>
        <v>42</v>
      </c>
      <c r="AV19">
        <f t="shared" si="12"/>
        <v>45</v>
      </c>
      <c r="AW19" s="123"/>
      <c r="AX19" s="120" cm="1">
        <f t="array" aca="1" ref="AX19" ca="1">SUMIF($AP$3:$AP$36,INDIRECT(ADDRESS(ROW(),1)),$AU$3:$AU$36) + SUMIF($AQ$3:$AQ$36,INDIRECT(ADDRESS(ROW(),1)),$AV$3:$AV$36)</f>
        <v>185</v>
      </c>
      <c r="AY19" s="120" cm="1">
        <f t="array" aca="1" ref="AY19" ca="1">SUMIF($AP$3:$AP$36,INDIRECT(ADDRESS(ROW(),1)),$AV$3:$AV$36) + SUMIF($AQ$3:$AQ$36,INDIRECT(ADDRESS(ROW(),1)),$AU$3:$AU$36)</f>
        <v>186</v>
      </c>
      <c r="AZ19" s="120">
        <f ca="1">IFERROR(AX19/AY19,"")</f>
        <v>0.9946236559139785</v>
      </c>
      <c r="BA19" t="str">
        <f>IF($A19&gt;0,IF(VLOOKUP($A19,seznam!$A$2:$C$197,2)&gt;0,VLOOKUP($A19,seznam!$A$2:$C$197,2),"------"),"------")</f>
        <v>Žilková Elen</v>
      </c>
    </row>
    <row r="20" spans="1:53">
      <c r="A20" s="196"/>
      <c r="B20"/>
      <c r="C20" s="134"/>
      <c r="D20" s="30" t="str">
        <f>IF(COUNTIF(seznam!$A$2:$A$25,A19)=1,VLOOKUP(A19,seznam!$A$2:$C$25,2,FALSE),"------")</f>
        <v>Žilková Elen</v>
      </c>
      <c r="E20" s="143"/>
      <c r="F20" s="144"/>
      <c r="G20" s="145"/>
      <c r="H20" s="151"/>
      <c r="I20" s="130"/>
      <c r="J20" s="138"/>
      <c r="K20" s="151"/>
      <c r="L20" s="130"/>
      <c r="M20" s="138"/>
      <c r="N20" s="151"/>
      <c r="O20" s="130"/>
      <c r="P20" s="148"/>
      <c r="Q20" s="151"/>
      <c r="R20" s="130"/>
      <c r="S20" s="138"/>
      <c r="T20" s="151"/>
      <c r="U20" s="130"/>
      <c r="V20" s="157"/>
      <c r="W20" s="148"/>
      <c r="X20" s="148"/>
      <c r="Y20" s="138"/>
      <c r="Z20" s="132"/>
      <c r="AA20" s="198"/>
      <c r="AB20" s="193"/>
      <c r="AC20" s="40" t="str">
        <f>D22</f>
        <v>Zouharová Beáta</v>
      </c>
      <c r="AD20" s="7"/>
      <c r="AE20" s="82" t="str">
        <f>D30</f>
        <v>Maradová Eliška</v>
      </c>
      <c r="AF20" s="22" t="s">
        <v>106</v>
      </c>
      <c r="AG20" s="19" t="s">
        <v>104</v>
      </c>
      <c r="AH20" s="19" t="s">
        <v>109</v>
      </c>
      <c r="AI20" s="19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J20" s="52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K20" s="96">
        <f t="shared" si="13"/>
        <v>0</v>
      </c>
      <c r="AL20" s="13" t="s">
        <v>6</v>
      </c>
      <c r="AM20" s="27">
        <f t="shared" si="14"/>
        <v>3</v>
      </c>
      <c r="AN20" s="35"/>
      <c r="AO20" s="37"/>
      <c r="AP20" s="37">
        <f>A21</f>
        <v>24</v>
      </c>
      <c r="AQ20" s="37">
        <f>A29</f>
        <v>20</v>
      </c>
      <c r="AR20" s="2" t="str">
        <f>IF(ISNA(MATCH(CONCATENATE(AP20,"-",AQ20),'sk C,D - Ženy'!AR$1:'sk C,D - Ženy'!AR$36,0)),  IF(ISNA(MATCH(CONCATENATE(AQ20,"-",AP20),'sk C,D - Ženy'!AR$1:'sk C,D - Ženy'!AR$36,0)),"",-1*MATCH(CONCATENATE(AQ20,"-",AP20),'sk C,D - Ženy'!AR$1:'sk C,D - Ženy'!AR$36,0) ),MATCH(CONCATENATE(AP20,"-",AQ20),'sk C,D - Ženy'!AR$1:'sk C,D - Ženy'!AR$36,0)       )</f>
        <v/>
      </c>
      <c r="AS20">
        <f>$A$25</f>
        <v>21</v>
      </c>
      <c r="AT20" s="123" t="e">
        <f t="shared" ca="1" si="10"/>
        <v>#NAME?</v>
      </c>
      <c r="AU20">
        <f t="shared" si="11"/>
        <v>12</v>
      </c>
      <c r="AV20">
        <f t="shared" si="12"/>
        <v>33</v>
      </c>
      <c r="AW20" s="123"/>
      <c r="AX20" s="120"/>
      <c r="AY20" s="120"/>
      <c r="AZ20" s="120"/>
    </row>
    <row r="21" spans="1:53">
      <c r="A21" s="195">
        <v>24</v>
      </c>
      <c r="B21" s="24"/>
      <c r="C21" s="139">
        <v>2</v>
      </c>
      <c r="D21" s="29" t="str">
        <f>IF(COUNTIF(seznam!$A$2:$A$25,A21)=1,VLOOKUP(A21,seznam!$A$2:$C$25,3,FALSE),"------")</f>
        <v>KST Blansko</v>
      </c>
      <c r="E21" s="149">
        <f>AM15</f>
        <v>0</v>
      </c>
      <c r="F21" s="129" t="s">
        <v>6</v>
      </c>
      <c r="G21" s="147">
        <f>AK15</f>
        <v>3</v>
      </c>
      <c r="H21" s="175"/>
      <c r="I21" s="176"/>
      <c r="J21" s="183"/>
      <c r="K21" s="150">
        <f>AK29</f>
        <v>0</v>
      </c>
      <c r="L21" s="129" t="s">
        <v>6</v>
      </c>
      <c r="M21" s="147">
        <f>AM29</f>
        <v>3</v>
      </c>
      <c r="N21" s="150">
        <f>AM35</f>
        <v>0</v>
      </c>
      <c r="O21" s="129" t="s">
        <v>6</v>
      </c>
      <c r="P21" s="129">
        <f>AK35</f>
        <v>3</v>
      </c>
      <c r="Q21" s="150">
        <f>AK7</f>
        <v>0</v>
      </c>
      <c r="R21" s="129" t="s">
        <v>6</v>
      </c>
      <c r="S21" s="147">
        <f>AM7</f>
        <v>3</v>
      </c>
      <c r="T21" s="150">
        <f>AK20</f>
        <v>0</v>
      </c>
      <c r="U21" s="129" t="s">
        <v>6</v>
      </c>
      <c r="V21" s="156">
        <f>AM20</f>
        <v>3</v>
      </c>
      <c r="W21" s="129">
        <f>E21+K21+N21+Q21+T21</f>
        <v>0</v>
      </c>
      <c r="X21" s="129" t="s">
        <v>6</v>
      </c>
      <c r="Y21" s="147">
        <f>G21+M21+P21+S21+V21</f>
        <v>15</v>
      </c>
      <c r="Z21" s="194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5</v>
      </c>
      <c r="AA21" s="199">
        <v>12</v>
      </c>
      <c r="AB21" s="192"/>
      <c r="AC21" s="40" t="str">
        <f>D24</f>
        <v>Svobodová Kristýna</v>
      </c>
      <c r="AD21" s="7"/>
      <c r="AE21" s="82" t="str">
        <f>D20</f>
        <v>Žilková Elen</v>
      </c>
      <c r="AF21" s="2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7</v>
      </c>
      <c r="AG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-5</v>
      </c>
      <c r="AH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7</v>
      </c>
      <c r="AI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-11</v>
      </c>
      <c r="AJ21" s="5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-4</v>
      </c>
      <c r="AK21" s="96">
        <f t="shared" si="13"/>
        <v>2</v>
      </c>
      <c r="AL21" s="13" t="s">
        <v>6</v>
      </c>
      <c r="AM21" s="27">
        <f t="shared" si="14"/>
        <v>3</v>
      </c>
      <c r="AN21" s="35"/>
      <c r="AO21" s="37"/>
      <c r="AP21" s="37">
        <f>A23</f>
        <v>22</v>
      </c>
      <c r="AQ21" s="37">
        <f>A19</f>
        <v>19</v>
      </c>
      <c r="AR21" s="2">
        <f>IF(ISNA(MATCH(CONCATENATE(AP21,"-",AQ21),'sk C,D - Ženy'!AR$1:'sk C,D - Ženy'!AR$36,0)),  IF(ISNA(MATCH(CONCATENATE(AQ21,"-",AP21),'sk C,D - Ženy'!AR$1:'sk C,D - Ženy'!AR$36,0)),"",-1*MATCH(CONCATENATE(AQ21,"-",AP21),'sk C,D - Ženy'!AR$1:'sk C,D - Ženy'!AR$36,0) ),MATCH(CONCATENATE(AP21,"-",AQ21),'sk C,D - Ženy'!AR$1:'sk C,D - Ženy'!AR$36,0)       )</f>
        <v>26</v>
      </c>
      <c r="AS21">
        <f>$A$27</f>
        <v>18</v>
      </c>
      <c r="AT21" s="123" t="s">
        <v>122</v>
      </c>
      <c r="AU21">
        <f t="shared" si="11"/>
        <v>42</v>
      </c>
      <c r="AV21">
        <f t="shared" si="12"/>
        <v>49</v>
      </c>
      <c r="AW21" s="123"/>
      <c r="AX21" s="120" cm="1">
        <f t="array" aca="1" ref="AX21" ca="1">SUMIF($AP$3:$AP$36,INDIRECT(ADDRESS(ROW(),1)),$AU$3:$AU$36) + SUMIF($AQ$3:$AQ$36,INDIRECT(ADDRESS(ROW(),1)),$AV$3:$AV$36)</f>
        <v>73</v>
      </c>
      <c r="AY21" s="120" cm="1">
        <f t="array" aca="1" ref="AY21" ca="1">SUMIF($AP$3:$AP$36,INDIRECT(ADDRESS(ROW(),1)),$AV$3:$AV$36) + SUMIF($AQ$3:$AQ$36,INDIRECT(ADDRESS(ROW(),1)),$AU$3:$AU$36)</f>
        <v>165</v>
      </c>
      <c r="AZ21" s="120">
        <f ca="1">IFERROR(AX21/AY21,"")</f>
        <v>0.44242424242424244</v>
      </c>
      <c r="BA21" t="str">
        <f>IF($A21&gt;0,IF(VLOOKUP($A21,seznam!$A$2:$C$197,2)&gt;0,VLOOKUP($A21,seznam!$A$2:$C$197,2),"------"),"------")</f>
        <v>Zouharová Beáta</v>
      </c>
    </row>
    <row r="22" spans="1:53" ht="13.5" thickBot="1">
      <c r="A22" s="196"/>
      <c r="B22"/>
      <c r="C22" s="134"/>
      <c r="D22" s="30" t="str">
        <f>IF(COUNTIF(seznam!$A$2:$A$25,A21)=1,VLOOKUP(A21,seznam!$A$2:$C$25,2,FALSE),"------")</f>
        <v>Zouharová Beáta</v>
      </c>
      <c r="E22" s="136"/>
      <c r="F22" s="130"/>
      <c r="G22" s="138"/>
      <c r="H22" s="184"/>
      <c r="I22" s="144"/>
      <c r="J22" s="145"/>
      <c r="K22" s="151"/>
      <c r="L22" s="130"/>
      <c r="M22" s="138"/>
      <c r="N22" s="151"/>
      <c r="O22" s="130"/>
      <c r="P22" s="148"/>
      <c r="Q22" s="151"/>
      <c r="R22" s="130"/>
      <c r="S22" s="138"/>
      <c r="T22" s="151"/>
      <c r="U22" s="130"/>
      <c r="V22" s="157"/>
      <c r="W22" s="148"/>
      <c r="X22" s="130"/>
      <c r="Y22" s="138"/>
      <c r="Z22" s="132"/>
      <c r="AA22" s="198"/>
      <c r="AB22" s="193"/>
      <c r="AC22" s="41" t="str">
        <f>D26</f>
        <v>Krupková Klaudie</v>
      </c>
      <c r="AD22" s="42"/>
      <c r="AE22" s="60" t="str">
        <f>D28</f>
        <v>Hasoňová Jana</v>
      </c>
      <c r="AF22" s="43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-6</v>
      </c>
      <c r="AG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-5</v>
      </c>
      <c r="AH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8</v>
      </c>
      <c r="AI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8</v>
      </c>
      <c r="AJ22" s="57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-8</v>
      </c>
      <c r="AK22" s="97">
        <f t="shared" si="13"/>
        <v>2</v>
      </c>
      <c r="AL22" s="46" t="s">
        <v>6</v>
      </c>
      <c r="AM22" s="47">
        <f t="shared" si="14"/>
        <v>3</v>
      </c>
      <c r="AN22" s="9"/>
      <c r="AO22" s="37"/>
      <c r="AP22" s="3">
        <f>A25</f>
        <v>21</v>
      </c>
      <c r="AQ22" s="3">
        <f>A27</f>
        <v>18</v>
      </c>
      <c r="AR22" s="2">
        <f>IF(ISNA(MATCH(CONCATENATE(AP22,"-",AQ22),'sk C,D - Ženy'!AR$1:'sk C,D - Ženy'!AR$36,0)),  IF(ISNA(MATCH(CONCATENATE(AQ22,"-",AP22),'sk C,D - Ženy'!AR$1:'sk C,D - Ženy'!AR$36,0)),"",-1*MATCH(CONCATENATE(AQ22,"-",AP22),'sk C,D - Ženy'!AR$1:'sk C,D - Ženy'!AR$36,0) ),MATCH(CONCATENATE(AP22,"-",AQ22),'sk C,D - Ženy'!AR$1:'sk C,D - Ženy'!AR$36,0)       )</f>
        <v>-35</v>
      </c>
      <c r="AS22">
        <f>$A$21</f>
        <v>24</v>
      </c>
      <c r="AT22" s="123" t="s">
        <v>122</v>
      </c>
      <c r="AU22">
        <f t="shared" si="11"/>
        <v>41</v>
      </c>
      <c r="AV22">
        <f t="shared" si="12"/>
        <v>49</v>
      </c>
      <c r="AW22" s="123"/>
      <c r="AX22" s="120"/>
      <c r="AY22" s="120"/>
      <c r="AZ22" s="120"/>
    </row>
    <row r="23" spans="1:53" ht="13.5" thickBot="1">
      <c r="A23" s="195">
        <v>22</v>
      </c>
      <c r="B23" s="24"/>
      <c r="C23" s="139">
        <v>3</v>
      </c>
      <c r="D23" s="29" t="str">
        <f>IF(COUNTIF(seznam!$A$2:$A$25,A23)=1,VLOOKUP(A23,seznam!$A$2:$C$25,3,FALSE),"------")</f>
        <v>Jiskra Strážnice</v>
      </c>
      <c r="E23" s="149">
        <f>AK21</f>
        <v>2</v>
      </c>
      <c r="F23" s="129" t="s">
        <v>6</v>
      </c>
      <c r="G23" s="147">
        <f>AM21</f>
        <v>3</v>
      </c>
      <c r="H23" s="150">
        <f>AM29</f>
        <v>3</v>
      </c>
      <c r="I23" s="129" t="s">
        <v>6</v>
      </c>
      <c r="J23" s="147">
        <f>AK29</f>
        <v>0</v>
      </c>
      <c r="K23" s="175"/>
      <c r="L23" s="176"/>
      <c r="M23" s="183"/>
      <c r="N23" s="150">
        <f>AK8</f>
        <v>0</v>
      </c>
      <c r="O23" s="129" t="s">
        <v>6</v>
      </c>
      <c r="P23" s="129">
        <f>AM8</f>
        <v>3</v>
      </c>
      <c r="Q23" s="150">
        <f>AM14</f>
        <v>3</v>
      </c>
      <c r="R23" s="129" t="s">
        <v>6</v>
      </c>
      <c r="S23" s="147">
        <f>AK14</f>
        <v>0</v>
      </c>
      <c r="T23" s="150">
        <f>AK34</f>
        <v>0</v>
      </c>
      <c r="U23" s="129" t="s">
        <v>6</v>
      </c>
      <c r="V23" s="156">
        <f>AM34</f>
        <v>3</v>
      </c>
      <c r="W23" s="129">
        <f>H23+E23+N23+Q23+T23</f>
        <v>8</v>
      </c>
      <c r="X23" s="129" t="s">
        <v>6</v>
      </c>
      <c r="Y23" s="147">
        <f>J23+G23+P23+S23+V23</f>
        <v>9</v>
      </c>
      <c r="Z23" s="194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99">
        <v>11</v>
      </c>
      <c r="AB23" s="192"/>
      <c r="AC23" s="4" t="s">
        <v>13</v>
      </c>
      <c r="AK23" s="98"/>
      <c r="AL23" s="9"/>
      <c r="AM23" s="9"/>
      <c r="AN23" s="35"/>
      <c r="AO23" s="37"/>
      <c r="AP23" s="37"/>
      <c r="AQ23" s="37"/>
      <c r="AR23" s="2" t="str">
        <f>IF(ISNA(MATCH(CONCATENATE(AP23,"-",AQ23),'sk C,D - Ženy'!AR$1:'sk C,D - Ženy'!AR$36,0)),  IF(ISNA(MATCH(CONCATENATE(AQ23,"-",AP23),'sk C,D - Ženy'!AR$1:'sk C,D - Ženy'!AR$36,0)),"",-1*MATCH(CONCATENATE(AQ23,"-",AP23),'sk C,D - Ženy'!AR$1:'sk C,D - Ženy'!AR$36,0) ),MATCH(CONCATENATE(AP23,"-",AQ23),'sk C,D - Ženy'!AR$1:'sk C,D - Ženy'!AR$36,0)       )</f>
        <v/>
      </c>
      <c r="AS23"/>
      <c r="AT23" s="123"/>
      <c r="AU23"/>
      <c r="AV23"/>
      <c r="AW23" s="123"/>
      <c r="AX23" s="120" cm="1">
        <f t="array" aca="1" ref="AX23" ca="1">SUMIF($AP$3:$AP$36,INDIRECT(ADDRESS(ROW(),1)),$AU$3:$AU$36) + SUMIF($AQ$3:$AQ$36,INDIRECT(ADDRESS(ROW(),1)),$AV$3:$AV$36)</f>
        <v>162</v>
      </c>
      <c r="AY23" s="120" cm="1">
        <f t="array" aca="1" ref="AY23" ca="1">SUMIF($AP$3:$AP$36,INDIRECT(ADDRESS(ROW(),1)),$AV$3:$AV$36) + SUMIF($AQ$3:$AQ$36,INDIRECT(ADDRESS(ROW(),1)),$AU$3:$AU$36)</f>
        <v>156</v>
      </c>
      <c r="AZ23" s="120">
        <f ca="1">IFERROR(AX23/AY23,"")</f>
        <v>1.0384615384615385</v>
      </c>
      <c r="BA23" t="str">
        <f>IF($A23&gt;0,IF(VLOOKUP($A23,seznam!$A$2:$C$197,2)&gt;0,VLOOKUP($A23,seznam!$A$2:$C$197,2),"------"),"------")</f>
        <v>Svobodová Kristýna</v>
      </c>
    </row>
    <row r="24" spans="1:53">
      <c r="A24" s="196"/>
      <c r="B24"/>
      <c r="C24" s="134"/>
      <c r="D24" s="30" t="str">
        <f>IF(COUNTIF(seznam!$A$2:$A$25,A23)=1,VLOOKUP(A23,seznam!$A$2:$C$25,2,FALSE),"------")</f>
        <v>Svobodová Kristýna</v>
      </c>
      <c r="E24" s="136"/>
      <c r="F24" s="130"/>
      <c r="G24" s="138"/>
      <c r="H24" s="151"/>
      <c r="I24" s="130"/>
      <c r="J24" s="138"/>
      <c r="K24" s="184"/>
      <c r="L24" s="144"/>
      <c r="M24" s="145"/>
      <c r="N24" s="151"/>
      <c r="O24" s="130"/>
      <c r="P24" s="148"/>
      <c r="Q24" s="151"/>
      <c r="R24" s="130"/>
      <c r="S24" s="138"/>
      <c r="T24" s="151"/>
      <c r="U24" s="130"/>
      <c r="V24" s="157"/>
      <c r="W24" s="148"/>
      <c r="X24" s="148"/>
      <c r="Y24" s="138"/>
      <c r="Z24" s="132"/>
      <c r="AA24" s="198"/>
      <c r="AB24" s="193"/>
      <c r="AC24" s="39" t="str">
        <f>D15</f>
        <v>Jonášová Kristýna</v>
      </c>
      <c r="AD24" s="51" t="s">
        <v>8</v>
      </c>
      <c r="AE24" s="53" t="str">
        <f>D13</f>
        <v>Straková Adéla</v>
      </c>
      <c r="AF24" s="20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9</v>
      </c>
      <c r="AG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-8</v>
      </c>
      <c r="AH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4</v>
      </c>
      <c r="AI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-6</v>
      </c>
      <c r="AJ24" s="56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-10</v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2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23</v>
      </c>
      <c r="AQ24" s="37">
        <f>A12</f>
        <v>15</v>
      </c>
      <c r="AR24" s="2">
        <f>IF(ISNA(MATCH(CONCATENATE(AP24,"-",AQ24),'sk C,D - Ženy'!AR$1:'sk C,D - Ženy'!AR$36,0)),  IF(ISNA(MATCH(CONCATENATE(AQ24,"-",AP24),'sk C,D - Ženy'!AR$1:'sk C,D - Ženy'!AR$36,0)),"",-1*MATCH(CONCATENATE(AQ24,"-",AP24),'sk C,D - Ženy'!AR$1:'sk C,D - Ženy'!AR$36,0) ),MATCH(CONCATENATE(AP24,"-",AQ24),'sk C,D - Ženy'!AR$1:'sk C,D - Ženy'!AR$36,0)       )</f>
        <v>27</v>
      </c>
      <c r="AS24">
        <f>$A$8</f>
        <v>16</v>
      </c>
      <c r="AT24" s="123" t="s">
        <v>122</v>
      </c>
      <c r="AU24">
        <f t="shared" ref="AU24:AU29" si="15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46</v>
      </c>
      <c r="AV24">
        <f t="shared" ref="AV24:AV29" si="16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47</v>
      </c>
      <c r="AW24" s="123"/>
      <c r="AX24" s="120"/>
      <c r="AY24" s="120"/>
      <c r="AZ24" s="120"/>
    </row>
    <row r="25" spans="1:53">
      <c r="A25" s="195">
        <v>21</v>
      </c>
      <c r="B25" s="24"/>
      <c r="C25" s="139">
        <v>4</v>
      </c>
      <c r="D25" s="29" t="str">
        <f>IF(COUNTIF(seznam!$A$2:$A$25,A25)=1,VLOOKUP(A25,seznam!$A$2:$C$25,3,FALSE),"------")</f>
        <v>KST Blansko</v>
      </c>
      <c r="E25" s="149">
        <f>AM28</f>
        <v>2</v>
      </c>
      <c r="F25" s="129" t="s">
        <v>6</v>
      </c>
      <c r="G25" s="147">
        <f>AK28</f>
        <v>3</v>
      </c>
      <c r="H25" s="150">
        <f>AK35</f>
        <v>3</v>
      </c>
      <c r="I25" s="129" t="s">
        <v>6</v>
      </c>
      <c r="J25" s="147">
        <f>AM35</f>
        <v>0</v>
      </c>
      <c r="K25" s="150">
        <f>AM8</f>
        <v>3</v>
      </c>
      <c r="L25" s="129" t="s">
        <v>6</v>
      </c>
      <c r="M25" s="147">
        <f>AK8</f>
        <v>0</v>
      </c>
      <c r="N25" s="175"/>
      <c r="O25" s="176"/>
      <c r="P25" s="176"/>
      <c r="Q25" s="150">
        <f>AK22</f>
        <v>2</v>
      </c>
      <c r="R25" s="129" t="s">
        <v>6</v>
      </c>
      <c r="S25" s="147">
        <f>AM22</f>
        <v>3</v>
      </c>
      <c r="T25" s="150">
        <f>AM13</f>
        <v>3</v>
      </c>
      <c r="U25" s="129" t="s">
        <v>6</v>
      </c>
      <c r="V25" s="156">
        <f>AK13</f>
        <v>2</v>
      </c>
      <c r="W25" s="129">
        <f>H25+K25+E25+Q25+T25</f>
        <v>13</v>
      </c>
      <c r="X25" s="129" t="s">
        <v>6</v>
      </c>
      <c r="Y25" s="147">
        <f>J25+M25+G25+S25+V25</f>
        <v>8</v>
      </c>
      <c r="Z25" s="194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199">
        <v>8</v>
      </c>
      <c r="AB25" s="192"/>
      <c r="AC25" s="40" t="str">
        <f>D5</f>
        <v>Solfronková Ema</v>
      </c>
      <c r="AD25" s="7" t="s">
        <v>8</v>
      </c>
      <c r="AE25" s="54" t="str">
        <f>D11</f>
        <v>Pilitowská Ela</v>
      </c>
      <c r="AF25" s="22" t="s">
        <v>119</v>
      </c>
      <c r="AG25" s="19" t="s">
        <v>98</v>
      </c>
      <c r="AH25" s="19" t="s">
        <v>99</v>
      </c>
      <c r="AI25" s="19" t="s">
        <v>101</v>
      </c>
      <c r="AJ25" s="52" t="str">
        <f>IF(ISNUMBER($AR25),
      IF(SIGN($AR25)&gt;=0,
           IF( ISBLANK(INDEX('sk C,D - Ženy'!$A$1:'sk C,D - Ženy'!$AM$36,ABS($AR25),COLUMN())),"", INDEX('sk C,D - Ženy'!$A$1:'sk C,D - Ženy'!$AM$36,ABS($AR25),COLUMN())),
           IF(MID(INDEX('sk C,D - Ženy'!$A$1:'sk C,D - Ženy'!$AM$36,ABS($AR25),COLUMN()),1,1)="-",
                MID(INDEX('sk C,D - Ženy'!$A$1:'sk C,D - Ženy'!$AM$36,ABS($AR25),COLUMN()),2,5),
                IF( ISBLANK(INDEX('sk C,D - Ženy'!$A$1:'sk C,D - Ženy'!$AM$36,ABS($AR25),COLUMN())), "",   CONCATENATE("-",INDEX('sk C,D - Ženy'!$A$1:'sk C,D - Ženy'!$AM$36,ABS($AR25),COLUMN()))   )
               )
          ),
        ""
      )</f>
        <v/>
      </c>
      <c r="AK25" s="96">
        <f t="shared" ref="AK25:AK29" si="17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3</v>
      </c>
      <c r="AL25" s="13" t="s">
        <v>6</v>
      </c>
      <c r="AM25" s="27">
        <f t="shared" ref="AM25:AM29" si="18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1</v>
      </c>
      <c r="AN25" s="35"/>
      <c r="AO25" s="37"/>
      <c r="AP25" s="37">
        <f>A4</f>
        <v>13</v>
      </c>
      <c r="AQ25" s="37">
        <f>A10</f>
        <v>14</v>
      </c>
      <c r="AR25" s="2" t="str">
        <f>IF(ISNA(MATCH(CONCATENATE(AP25,"-",AQ25),'sk C,D - Ženy'!AR$1:'sk C,D - Ženy'!AR$36,0)),  IF(ISNA(MATCH(CONCATENATE(AQ25,"-",AP25),'sk C,D - Ženy'!AR$1:'sk C,D - Ženy'!AR$36,0)),"",-1*MATCH(CONCATENATE(AQ25,"-",AP25),'sk C,D - Ženy'!AR$1:'sk C,D - Ženy'!AR$36,0) ),MATCH(CONCATENATE(AP25,"-",AQ25),'sk C,D - Ženy'!AR$1:'sk C,D - Ženy'!AR$36,0)       )</f>
        <v/>
      </c>
      <c r="AS25">
        <f>$A$14</f>
        <v>23</v>
      </c>
      <c r="AT25" s="123" t="e">
        <f t="shared" ref="AT24:AT29" ca="1" si="19">IF(AND(_xlfn.ISFORMULA(AF25),OR(LEN(AF25)&gt;0,LEN(AG25)&gt;0,LEN(AH25)&gt;0,LEN(AI25)&gt;0,LEN(AJ25)&gt;0)),"a","")</f>
        <v>#NAME?</v>
      </c>
      <c r="AU25">
        <f t="shared" si="15"/>
        <v>40</v>
      </c>
      <c r="AV25">
        <f t="shared" si="16"/>
        <v>31</v>
      </c>
      <c r="AW25" s="123"/>
      <c r="AX25" s="120" cm="1">
        <f t="array" aca="1" ref="AX25" ca="1">SUMIF($AP$3:$AP$36,INDIRECT(ADDRESS(ROW(),1)),$AU$3:$AU$36) + SUMIF($AQ$3:$AQ$36,INDIRECT(ADDRESS(ROW(),1)),$AV$3:$AV$36)</f>
        <v>205</v>
      </c>
      <c r="AY25" s="120" cm="1">
        <f t="array" aca="1" ref="AY25" ca="1">SUMIF($AP$3:$AP$36,INDIRECT(ADDRESS(ROW(),1)),$AV$3:$AV$36) + SUMIF($AQ$3:$AQ$36,INDIRECT(ADDRESS(ROW(),1)),$AU$3:$AU$36)</f>
        <v>176</v>
      </c>
      <c r="AZ25" s="120">
        <f ca="1">IFERROR(AX25/AY25,"")</f>
        <v>1.1647727272727273</v>
      </c>
      <c r="BA25" t="str">
        <f>IF($A25&gt;0,IF(VLOOKUP($A25,seznam!$A$2:$C$197,2)&gt;0,VLOOKUP($A25,seznam!$A$2:$C$197,2),"------"),"------")</f>
        <v>Krupková Klaudie</v>
      </c>
    </row>
    <row r="26" spans="1:53">
      <c r="A26" s="196"/>
      <c r="B26"/>
      <c r="C26" s="134"/>
      <c r="D26" s="30" t="str">
        <f>IF(COUNTIF(seznam!$A$2:$A$25,A25)=1,VLOOKUP(A25,seznam!$A$2:$C$25,2,FALSE),"------")</f>
        <v>Krupková Klaudie</v>
      </c>
      <c r="E26" s="136"/>
      <c r="F26" s="130"/>
      <c r="G26" s="138"/>
      <c r="H26" s="151"/>
      <c r="I26" s="130"/>
      <c r="J26" s="138"/>
      <c r="K26" s="151"/>
      <c r="L26" s="130"/>
      <c r="M26" s="138"/>
      <c r="N26" s="184"/>
      <c r="O26" s="144"/>
      <c r="P26" s="144"/>
      <c r="Q26" s="151"/>
      <c r="R26" s="130"/>
      <c r="S26" s="138"/>
      <c r="T26" s="151"/>
      <c r="U26" s="130"/>
      <c r="V26" s="157"/>
      <c r="W26" s="148"/>
      <c r="X26" s="148"/>
      <c r="Y26" s="138"/>
      <c r="Z26" s="132"/>
      <c r="AA26" s="198"/>
      <c r="AB26" s="193"/>
      <c r="AC26" s="40" t="str">
        <f>D7</f>
        <v>Křepelová Kamila</v>
      </c>
      <c r="AD26" s="7" t="s">
        <v>8</v>
      </c>
      <c r="AE26" s="54" t="str">
        <f>D9</f>
        <v>Klašková Alžběta</v>
      </c>
      <c r="AF26" s="2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-5</v>
      </c>
      <c r="AG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-3</v>
      </c>
      <c r="AH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-4</v>
      </c>
      <c r="AI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/>
      </c>
      <c r="AJ26" s="5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/>
      </c>
      <c r="AK26" s="96">
        <f t="shared" si="17"/>
        <v>0</v>
      </c>
      <c r="AL26" s="13" t="s">
        <v>6</v>
      </c>
      <c r="AM26" s="27">
        <f t="shared" si="18"/>
        <v>3</v>
      </c>
      <c r="AN26" s="35"/>
      <c r="AO26" s="37"/>
      <c r="AP26" s="37">
        <f>A6</f>
        <v>17</v>
      </c>
      <c r="AQ26" s="37">
        <f>A8</f>
        <v>16</v>
      </c>
      <c r="AR26" s="2">
        <f>IF(ISNA(MATCH(CONCATENATE(AP26,"-",AQ26),'sk C,D - Ženy'!AR$1:'sk C,D - Ženy'!AR$36,0)),  IF(ISNA(MATCH(CONCATENATE(AQ26,"-",AP26),'sk C,D - Ženy'!AR$1:'sk C,D - Ženy'!AR$36,0)),"",-1*MATCH(CONCATENATE(AQ26,"-",AP26),'sk C,D - Ženy'!AR$1:'sk C,D - Ženy'!AR$36,0) ),MATCH(CONCATENATE(AP26,"-",AQ26),'sk C,D - Ženy'!AR$1:'sk C,D - Ženy'!AR$36,0)       )</f>
        <v>19</v>
      </c>
      <c r="AS26">
        <f>$A$4</f>
        <v>13</v>
      </c>
      <c r="AT26" s="123" t="s">
        <v>122</v>
      </c>
      <c r="AU26">
        <f t="shared" si="15"/>
        <v>12</v>
      </c>
      <c r="AV26">
        <f t="shared" si="16"/>
        <v>33</v>
      </c>
      <c r="AW26" s="123"/>
      <c r="AX26" s="120"/>
      <c r="AY26" s="120"/>
      <c r="AZ26" s="120"/>
    </row>
    <row r="27" spans="1:53">
      <c r="A27" s="195">
        <v>18</v>
      </c>
      <c r="B27" s="24"/>
      <c r="C27" s="139">
        <v>5</v>
      </c>
      <c r="D27" s="29" t="str">
        <f>IF(COUNTIF(seznam!$A$2:$A$25,A27)=1,VLOOKUP(A27,seznam!$A$2:$C$25,3,FALSE),"------")</f>
        <v>SKST Hodonín</v>
      </c>
      <c r="E27" s="149">
        <f>AK36</f>
        <v>3</v>
      </c>
      <c r="F27" s="129" t="s">
        <v>6</v>
      </c>
      <c r="G27" s="147">
        <f>AM36</f>
        <v>0</v>
      </c>
      <c r="H27" s="150">
        <f>AM7</f>
        <v>3</v>
      </c>
      <c r="I27" s="129" t="s">
        <v>6</v>
      </c>
      <c r="J27" s="147">
        <f>AK7</f>
        <v>0</v>
      </c>
      <c r="K27" s="150">
        <f>AK14</f>
        <v>0</v>
      </c>
      <c r="L27" s="129" t="s">
        <v>6</v>
      </c>
      <c r="M27" s="147">
        <f>AM14</f>
        <v>3</v>
      </c>
      <c r="N27" s="150">
        <f>AM22</f>
        <v>3</v>
      </c>
      <c r="O27" s="129" t="s">
        <v>6</v>
      </c>
      <c r="P27" s="129">
        <f>AK22</f>
        <v>2</v>
      </c>
      <c r="Q27" s="175"/>
      <c r="R27" s="176"/>
      <c r="S27" s="183"/>
      <c r="T27" s="150">
        <f>AM27</f>
        <v>3</v>
      </c>
      <c r="U27" s="129" t="s">
        <v>6</v>
      </c>
      <c r="V27" s="156">
        <f>AK27</f>
        <v>1</v>
      </c>
      <c r="W27" s="129">
        <f>H27+K27+N27+E27+T27</f>
        <v>12</v>
      </c>
      <c r="X27" s="129" t="s">
        <v>6</v>
      </c>
      <c r="Y27" s="147">
        <f>J27+M27+P27+G27+V27</f>
        <v>6</v>
      </c>
      <c r="Z27" s="194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9</v>
      </c>
      <c r="AA27" s="199">
        <v>7</v>
      </c>
      <c r="AB27" s="192"/>
      <c r="AC27" s="40" t="str">
        <f>D30</f>
        <v>Maradová Eliška</v>
      </c>
      <c r="AD27" s="7"/>
      <c r="AE27" s="54" t="str">
        <f>D28</f>
        <v>Hasoňová Jana</v>
      </c>
      <c r="AF27" s="2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8</v>
      </c>
      <c r="AG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-9</v>
      </c>
      <c r="AH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-3</v>
      </c>
      <c r="AI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-4</v>
      </c>
      <c r="AJ27" s="5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/>
      </c>
      <c r="AK27" s="96">
        <f t="shared" si="17"/>
        <v>1</v>
      </c>
      <c r="AL27" s="13" t="s">
        <v>6</v>
      </c>
      <c r="AM27" s="27">
        <f t="shared" si="18"/>
        <v>3</v>
      </c>
      <c r="AN27" s="9"/>
      <c r="AO27" s="37"/>
      <c r="AP27" s="3">
        <f>A29</f>
        <v>20</v>
      </c>
      <c r="AQ27" s="3">
        <f>A27</f>
        <v>18</v>
      </c>
      <c r="AR27" s="2">
        <f>IF(ISNA(MATCH(CONCATENATE(AP27,"-",AQ27),'sk C,D - Ženy'!AR$1:'sk C,D - Ženy'!AR$36,0)),  IF(ISNA(MATCH(CONCATENATE(AQ27,"-",AP27),'sk C,D - Ženy'!AR$1:'sk C,D - Ženy'!AR$36,0)),"",-1*MATCH(CONCATENATE(AQ27,"-",AP27),'sk C,D - Ženy'!AR$1:'sk C,D - Ženy'!AR$36,0) ),MATCH(CONCATENATE(AP27,"-",AQ27),'sk C,D - Ženy'!AR$1:'sk C,D - Ženy'!AR$36,0)       )</f>
        <v>8</v>
      </c>
      <c r="AS27">
        <f>$A$23</f>
        <v>22</v>
      </c>
      <c r="AT27" s="123" t="s">
        <v>122</v>
      </c>
      <c r="AU27">
        <f t="shared" si="15"/>
        <v>27</v>
      </c>
      <c r="AV27">
        <f t="shared" si="16"/>
        <v>41</v>
      </c>
      <c r="AW27" s="123"/>
      <c r="AX27" s="120" cm="1">
        <f t="array" aca="1" ref="AX27" ca="1">SUMIF($AP$3:$AP$36,INDIRECT(ADDRESS(ROW(),1)),$AU$3:$AU$36) + SUMIF($AQ$3:$AQ$36,INDIRECT(ADDRESS(ROW(),1)),$AV$3:$AV$36)</f>
        <v>174</v>
      </c>
      <c r="AY27" s="120" cm="1">
        <f t="array" aca="1" ref="AY27" ca="1">SUMIF($AP$3:$AP$36,INDIRECT(ADDRESS(ROW(),1)),$AV$3:$AV$36) + SUMIF($AQ$3:$AQ$36,INDIRECT(ADDRESS(ROW(),1)),$AU$3:$AU$36)</f>
        <v>137</v>
      </c>
      <c r="AZ27" s="120">
        <f ca="1">IFERROR(AX27/AY27,"")</f>
        <v>1.2700729927007299</v>
      </c>
      <c r="BA27" t="str">
        <f>IF($A27&gt;0,IF(VLOOKUP($A27,seznam!$A$2:$C$197,2)&gt;0,VLOOKUP($A27,seznam!$A$2:$C$197,2),"------"),"------")</f>
        <v>Hasoňová Jana</v>
      </c>
    </row>
    <row r="28" spans="1:53">
      <c r="A28" s="196"/>
      <c r="B28"/>
      <c r="C28" s="134"/>
      <c r="D28" s="30" t="str">
        <f>IF(COUNTIF(seznam!$A$2:$A$25,A27)=1,VLOOKUP(A27,seznam!$A$2:$C$25,2,FALSE),"------")</f>
        <v>Hasoňová Jana</v>
      </c>
      <c r="E28" s="136"/>
      <c r="F28" s="130"/>
      <c r="G28" s="138"/>
      <c r="H28" s="151"/>
      <c r="I28" s="130"/>
      <c r="J28" s="138"/>
      <c r="K28" s="151"/>
      <c r="L28" s="130"/>
      <c r="M28" s="138"/>
      <c r="N28" s="151"/>
      <c r="O28" s="130"/>
      <c r="P28" s="148"/>
      <c r="Q28" s="184"/>
      <c r="R28" s="144"/>
      <c r="S28" s="145"/>
      <c r="T28" s="151"/>
      <c r="U28" s="130"/>
      <c r="V28" s="182"/>
      <c r="W28" s="148"/>
      <c r="X28" s="148"/>
      <c r="Y28" s="138"/>
      <c r="Z28" s="132"/>
      <c r="AA28" s="200"/>
      <c r="AB28" s="193"/>
      <c r="AC28" s="40" t="str">
        <f>D20</f>
        <v>Žilková Elen</v>
      </c>
      <c r="AD28" s="7"/>
      <c r="AE28" s="54" t="str">
        <f>D26</f>
        <v>Krupková Klaudie</v>
      </c>
      <c r="AF28" s="22" t="s">
        <v>104</v>
      </c>
      <c r="AG28" s="19" t="s">
        <v>101</v>
      </c>
      <c r="AH28" s="19" t="s">
        <v>105</v>
      </c>
      <c r="AI28" s="19" t="s">
        <v>112</v>
      </c>
      <c r="AJ28" s="52" t="s">
        <v>112</v>
      </c>
      <c r="AK28" s="96">
        <f t="shared" si="17"/>
        <v>3</v>
      </c>
      <c r="AL28" s="13" t="s">
        <v>6</v>
      </c>
      <c r="AM28" s="27">
        <f t="shared" si="18"/>
        <v>2</v>
      </c>
      <c r="AN28" s="9"/>
      <c r="AO28" s="37"/>
      <c r="AP28" s="3">
        <f>A19</f>
        <v>19</v>
      </c>
      <c r="AQ28" s="3">
        <f>A25</f>
        <v>21</v>
      </c>
      <c r="AR28" s="2" t="str">
        <f>IF(ISNA(MATCH(CONCATENATE(AP28,"-",AQ28),'sk C,D - Ženy'!AR$1:'sk C,D - Ženy'!AR$36,0)),  IF(ISNA(MATCH(CONCATENATE(AQ28,"-",AP28),'sk C,D - Ženy'!AR$1:'sk C,D - Ženy'!AR$36,0)),"",-1*MATCH(CONCATENATE(AQ28,"-",AP28),'sk C,D - Ženy'!AR$1:'sk C,D - Ženy'!AR$36,0) ),MATCH(CONCATENATE(AP28,"-",AQ28),'sk C,D - Ženy'!AR$1:'sk C,D - Ženy'!AR$36,0)       )</f>
        <v/>
      </c>
      <c r="AS28">
        <f>$A$29</f>
        <v>20</v>
      </c>
      <c r="AT28" s="123" t="e">
        <f t="shared" ca="1" si="19"/>
        <v>#NAME?</v>
      </c>
      <c r="AU28">
        <f t="shared" si="15"/>
        <v>46</v>
      </c>
      <c r="AV28">
        <f t="shared" si="16"/>
        <v>48</v>
      </c>
      <c r="AW28" s="123"/>
      <c r="AX28" s="120"/>
      <c r="AY28" s="120"/>
      <c r="AZ28" s="120"/>
    </row>
    <row r="29" spans="1:53" ht="13.5" thickBot="1">
      <c r="A29" s="195">
        <v>20</v>
      </c>
      <c r="B29" s="24"/>
      <c r="C29" s="139">
        <v>6</v>
      </c>
      <c r="D29" s="29" t="str">
        <f>IF(COUNTIF(seznam!$A$2:$A$25,A29)=1,VLOOKUP(A29,seznam!$A$2:$C$25,3,FALSE),"------")</f>
        <v>MS Brno</v>
      </c>
      <c r="E29" s="149">
        <f>AM6</f>
        <v>3</v>
      </c>
      <c r="F29" s="129" t="s">
        <v>6</v>
      </c>
      <c r="G29" s="147">
        <f>AK6</f>
        <v>2</v>
      </c>
      <c r="H29" s="150">
        <f>AM20</f>
        <v>3</v>
      </c>
      <c r="I29" s="129" t="s">
        <v>6</v>
      </c>
      <c r="J29" s="147">
        <f>AK20</f>
        <v>0</v>
      </c>
      <c r="K29" s="150">
        <f>AM34</f>
        <v>3</v>
      </c>
      <c r="L29" s="129" t="s">
        <v>6</v>
      </c>
      <c r="M29" s="147">
        <f>AK34</f>
        <v>0</v>
      </c>
      <c r="N29" s="150">
        <f>AK13</f>
        <v>2</v>
      </c>
      <c r="O29" s="129" t="s">
        <v>6</v>
      </c>
      <c r="P29" s="129">
        <f>AM13</f>
        <v>3</v>
      </c>
      <c r="Q29" s="150">
        <f>AK27</f>
        <v>1</v>
      </c>
      <c r="R29" s="129" t="s">
        <v>6</v>
      </c>
      <c r="S29" s="147">
        <f>AM27</f>
        <v>3</v>
      </c>
      <c r="T29" s="175"/>
      <c r="U29" s="176"/>
      <c r="V29" s="177"/>
      <c r="W29" s="129">
        <f>H29+K29+N29+Q29+E29</f>
        <v>12</v>
      </c>
      <c r="X29" s="129" t="s">
        <v>6</v>
      </c>
      <c r="Y29" s="147">
        <f>J29+M29+P29+S29+G29</f>
        <v>8</v>
      </c>
      <c r="Z29" s="131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8</v>
      </c>
      <c r="AA29" s="199">
        <v>9</v>
      </c>
      <c r="AB29" s="192"/>
      <c r="AC29" s="41" t="str">
        <f>D22</f>
        <v>Zouharová Beáta</v>
      </c>
      <c r="AD29" s="42"/>
      <c r="AE29" s="55" t="str">
        <f>D24</f>
        <v>Svobodová Kristýna</v>
      </c>
      <c r="AF29" s="43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-6</v>
      </c>
      <c r="AG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-5</v>
      </c>
      <c r="AH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-6</v>
      </c>
      <c r="AI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J29" s="57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K29" s="97">
        <f t="shared" si="17"/>
        <v>0</v>
      </c>
      <c r="AL29" s="46" t="s">
        <v>6</v>
      </c>
      <c r="AM29" s="47">
        <f t="shared" si="18"/>
        <v>3</v>
      </c>
      <c r="AN29" s="9"/>
      <c r="AO29" s="37"/>
      <c r="AP29" s="3">
        <f>A21</f>
        <v>24</v>
      </c>
      <c r="AQ29" s="3">
        <f>A23</f>
        <v>22</v>
      </c>
      <c r="AR29" s="2">
        <f>IF(ISNA(MATCH(CONCATENATE(AP29,"-",AQ29),'sk C,D - Ženy'!AR$1:'sk C,D - Ženy'!AR$36,0)),  IF(ISNA(MATCH(CONCATENATE(AQ29,"-",AP29),'sk C,D - Ženy'!AR$1:'sk C,D - Ženy'!AR$36,0)),"",-1*MATCH(CONCATENATE(AQ29,"-",AP29),'sk C,D - Ženy'!AR$1:'sk C,D - Ženy'!AR$36,0) ),MATCH(CONCATENATE(AP29,"-",AQ29),'sk C,D - Ženy'!AR$1:'sk C,D - Ženy'!AR$36,0)       )</f>
        <v>-17</v>
      </c>
      <c r="AS29">
        <f>$A$19</f>
        <v>19</v>
      </c>
      <c r="AT29" s="123" t="s">
        <v>122</v>
      </c>
      <c r="AU29">
        <f t="shared" si="15"/>
        <v>17</v>
      </c>
      <c r="AV29">
        <f t="shared" si="16"/>
        <v>33</v>
      </c>
      <c r="AW29" s="123"/>
      <c r="AX29" s="120" cm="1">
        <f t="array" aca="1" ref="AX29" ca="1">SUMIF($AP$3:$AP$36,INDIRECT(ADDRESS(ROW(),1)),$AU$3:$AU$36) + SUMIF($AQ$3:$AQ$36,INDIRECT(ADDRESS(ROW(),1)),$AV$3:$AV$36)</f>
        <v>190</v>
      </c>
      <c r="AY29" s="120" cm="1">
        <f t="array" aca="1" ref="AY29" ca="1">SUMIF($AP$3:$AP$36,INDIRECT(ADDRESS(ROW(),1)),$AV$3:$AV$36) + SUMIF($AQ$3:$AQ$36,INDIRECT(ADDRESS(ROW(),1)),$AU$3:$AU$36)</f>
        <v>169</v>
      </c>
      <c r="AZ29" s="120">
        <f ca="1">IFERROR(AX29/AY29,"")</f>
        <v>1.1242603550295858</v>
      </c>
      <c r="BA29" t="str">
        <f>IF($A29&gt;0,IF(VLOOKUP($A29,seznam!$A$2:$C$197,2)&gt;0,VLOOKUP($A29,seznam!$A$2:$C$197,2),"------"),"------")</f>
        <v>Maradová Eliška</v>
      </c>
    </row>
    <row r="30" spans="1:53" ht="13.5" thickBot="1">
      <c r="A30" s="196"/>
      <c r="B30"/>
      <c r="C30" s="174"/>
      <c r="D30" s="18" t="str">
        <f>IF(COUNTIF(seznam!$A$2:$A$25,A29)=1,VLOOKUP(A29,seznam!$A$2:$C$25,2,FALSE),"------")</f>
        <v>Maradová Eliška</v>
      </c>
      <c r="E30" s="161"/>
      <c r="F30" s="155"/>
      <c r="G30" s="163"/>
      <c r="H30" s="158"/>
      <c r="I30" s="155"/>
      <c r="J30" s="163"/>
      <c r="K30" s="158"/>
      <c r="L30" s="155"/>
      <c r="M30" s="163"/>
      <c r="N30" s="158"/>
      <c r="O30" s="155"/>
      <c r="P30" s="181"/>
      <c r="Q30" s="158"/>
      <c r="R30" s="155"/>
      <c r="S30" s="163"/>
      <c r="T30" s="178"/>
      <c r="U30" s="179"/>
      <c r="V30" s="180"/>
      <c r="W30" s="181"/>
      <c r="X30" s="155"/>
      <c r="Y30" s="163"/>
      <c r="Z30" s="162"/>
      <c r="AA30" s="201"/>
      <c r="AB30" s="193"/>
      <c r="AC30" s="4" t="s">
        <v>14</v>
      </c>
      <c r="AK30" s="98"/>
      <c r="AL30" s="9"/>
      <c r="AM30" s="9"/>
      <c r="AN30" s="9"/>
      <c r="AP30" s="3"/>
      <c r="AQ30" s="3"/>
      <c r="AR30" s="2" t="str">
        <f>IF(ISNA(MATCH(CONCATENATE(AP30,"-",AQ30),'sk C,D - Ženy'!AR$1:'sk C,D - Ženy'!AR$36,0)),  IF(ISNA(MATCH(CONCATENATE(AQ30,"-",AP30),'sk C,D - Ženy'!AR$1:'sk C,D - Ženy'!AR$36,0)),"",-1*MATCH(CONCATENATE(AQ30,"-",AP30),'sk C,D - Ženy'!AR$1:'sk C,D - Ženy'!AR$36,0) ),MATCH(CONCATENATE(AP30,"-",AQ30),'sk C,D - Ženy'!AR$1:'sk C,D - Ženy'!AR$36,0)       )</f>
        <v/>
      </c>
      <c r="AS30"/>
      <c r="AT30" s="123"/>
      <c r="AU30"/>
      <c r="AV30"/>
      <c r="AW30" s="123"/>
    </row>
    <row r="31" spans="1:53">
      <c r="AC31" s="39" t="str">
        <f>D9</f>
        <v>Klašková Alžběta</v>
      </c>
      <c r="AD31" s="51" t="s">
        <v>8</v>
      </c>
      <c r="AE31" s="53" t="str">
        <f>D15</f>
        <v>Jonášová Kristýna</v>
      </c>
      <c r="AF31" s="20" t="s">
        <v>103</v>
      </c>
      <c r="AG31" s="21" t="s">
        <v>106</v>
      </c>
      <c r="AH31" s="21" t="s">
        <v>124</v>
      </c>
      <c r="AI31" s="21" t="s">
        <v>107</v>
      </c>
      <c r="AJ31" s="56" t="str">
        <f>IF(ISNUMBER($AR31),
      IF(SIGN($AR31)&gt;=0,
           IF( ISBLANK(INDEX('sk C,D - Ženy'!$A$1:'sk C,D - Ženy'!$AM$36,ABS($AR31),COLUMN())),"", INDEX('sk C,D - Ženy'!$A$1:'sk C,D - Ženy'!$AM$36,ABS($AR31),COLUMN())),
           IF(MID(INDEX('sk C,D - Ženy'!$A$1:'sk C,D - Ženy'!$AM$36,ABS($AR31),COLUMN()),1,1)="-",
                MID(INDEX('sk C,D - Ženy'!$A$1:'sk C,D - Ženy'!$AM$36,ABS($AR31),COLUMN()),2,5),
                IF( ISBLANK(INDEX('sk C,D - Ženy'!$A$1:'sk C,D - Ženy'!$AM$36,ABS($AR31),COLUMN())), "",   CONCATENATE("-",INDEX('sk C,D - Ženy'!$A$1:'sk C,D - Ženy'!$AM$36,ABS($AR31),COLUMN()))   )
               )
          ),
        ""
      )</f>
        <v/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1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3</v>
      </c>
      <c r="AN31" s="9"/>
      <c r="AO31" s="37"/>
      <c r="AP31" s="3">
        <f>A8</f>
        <v>16</v>
      </c>
      <c r="AQ31" s="3">
        <f>A14</f>
        <v>23</v>
      </c>
      <c r="AR31" s="2" t="str">
        <f>IF(ISNA(MATCH(CONCATENATE(AP31,"-",AQ31),'sk C,D - Ženy'!AR$1:'sk C,D - Ženy'!AR$36,0)),  IF(ISNA(MATCH(CONCATENATE(AQ31,"-",AP31),'sk C,D - Ženy'!AR$1:'sk C,D - Ženy'!AR$36,0)),"",-1*MATCH(CONCATENATE(AQ31,"-",AP31),'sk C,D - Ženy'!AR$1:'sk C,D - Ženy'!AR$36,0) ),MATCH(CONCATENATE(AP31,"-",AQ31),'sk C,D - Ženy'!AR$1:'sk C,D - Ženy'!AR$36,0)       )</f>
        <v/>
      </c>
      <c r="AS31">
        <f>$A$12</f>
        <v>15</v>
      </c>
      <c r="AT31" s="123" t="e">
        <f t="shared" ref="AT31:AT36" ca="1" si="20">IF(AND(_xlfn.ISFORMULA(AF31),OR(LEN(AF31)&gt;0,LEN(AG31)&gt;0,LEN(AH31)&gt;0,LEN(AI31)&gt;0,LEN(AJ31)&gt;0)),"a","")</f>
        <v>#NAME?</v>
      </c>
      <c r="AU31">
        <f t="shared" ref="AU31:AU36" si="21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26</v>
      </c>
      <c r="AV31">
        <f t="shared" ref="AV31:AV36" si="22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38</v>
      </c>
      <c r="AW31" s="123"/>
    </row>
    <row r="32" spans="1:53">
      <c r="AC32" s="40" t="str">
        <f>D11</f>
        <v>Pilitowská Ela</v>
      </c>
      <c r="AD32" s="7" t="s">
        <v>8</v>
      </c>
      <c r="AE32" s="54" t="str">
        <f>D7</f>
        <v>Křepelová Kamila</v>
      </c>
      <c r="AF32" s="22" t="s">
        <v>116</v>
      </c>
      <c r="AG32" s="19" t="s">
        <v>103</v>
      </c>
      <c r="AH32" s="19" t="s">
        <v>98</v>
      </c>
      <c r="AI32" s="19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J32" s="52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K32" s="96">
        <f t="shared" ref="AK32:AK36" si="2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3</v>
      </c>
      <c r="AL32" s="13" t="s">
        <v>6</v>
      </c>
      <c r="AM32" s="27">
        <f t="shared" ref="AM32:AM36" si="2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0</v>
      </c>
      <c r="AN32" s="9"/>
      <c r="AO32" s="37"/>
      <c r="AP32" s="3">
        <f>A10</f>
        <v>14</v>
      </c>
      <c r="AQ32" s="3">
        <f>A6</f>
        <v>17</v>
      </c>
      <c r="AR32" s="2" t="str">
        <f>IF(ISNA(MATCH(CONCATENATE(AP32,"-",AQ32),'sk C,D - Ženy'!AR$1:'sk C,D - Ženy'!AR$36,0)),  IF(ISNA(MATCH(CONCATENATE(AQ32,"-",AP32),'sk C,D - Ženy'!AR$1:'sk C,D - Ženy'!AR$36,0)),"",-1*MATCH(CONCATENATE(AQ32,"-",AP32),'sk C,D - Ženy'!AR$1:'sk C,D - Ženy'!AR$36,0) ),MATCH(CONCATENATE(AP32,"-",AQ32),'sk C,D - Ženy'!AR$1:'sk C,D - Ženy'!AR$36,0)       )</f>
        <v/>
      </c>
      <c r="AS32">
        <f>$A$4</f>
        <v>13</v>
      </c>
      <c r="AT32" s="123" t="e">
        <f t="shared" ca="1" si="20"/>
        <v>#NAME?</v>
      </c>
      <c r="AU32">
        <f t="shared" si="21"/>
        <v>35</v>
      </c>
      <c r="AV32">
        <f t="shared" si="22"/>
        <v>20</v>
      </c>
      <c r="AW32" s="123"/>
    </row>
    <row r="33" spans="29:49">
      <c r="AC33" s="40" t="str">
        <f>D13</f>
        <v>Straková Adéla</v>
      </c>
      <c r="AD33" s="7" t="s">
        <v>8</v>
      </c>
      <c r="AE33" s="54" t="str">
        <f>D5</f>
        <v>Solfronková Ema</v>
      </c>
      <c r="AF33" s="22" t="s">
        <v>101</v>
      </c>
      <c r="AG33" s="19" t="s">
        <v>112</v>
      </c>
      <c r="AH33" s="19" t="s">
        <v>113</v>
      </c>
      <c r="AI33" s="19" t="s">
        <v>112</v>
      </c>
      <c r="AJ33" s="52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K33" s="96">
        <f t="shared" si="23"/>
        <v>3</v>
      </c>
      <c r="AL33" s="13" t="s">
        <v>6</v>
      </c>
      <c r="AM33" s="27">
        <f t="shared" si="24"/>
        <v>1</v>
      </c>
      <c r="AN33" s="9"/>
      <c r="AO33" s="37"/>
      <c r="AP33" s="3">
        <f>A12</f>
        <v>15</v>
      </c>
      <c r="AQ33" s="3">
        <f>A4</f>
        <v>13</v>
      </c>
      <c r="AR33" s="2" t="str">
        <f>IF(ISNA(MATCH(CONCATENATE(AP33,"-",AQ33),'sk C,D - Ženy'!AR$1:'sk C,D - Ženy'!AR$36,0)),  IF(ISNA(MATCH(CONCATENATE(AQ33,"-",AP33),'sk C,D - Ženy'!AR$1:'sk C,D - Ženy'!AR$36,0)),"",-1*MATCH(CONCATENATE(AQ33,"-",AP33),'sk C,D - Ženy'!AR$1:'sk C,D - Ženy'!AR$36,0) ),MATCH(CONCATENATE(AP33,"-",AQ33),'sk C,D - Ženy'!AR$1:'sk C,D - Ženy'!AR$36,0)       )</f>
        <v/>
      </c>
      <c r="AS33">
        <f>$A$8</f>
        <v>16</v>
      </c>
      <c r="AT33" s="123" t="e">
        <f t="shared" ca="1" si="20"/>
        <v>#NAME?</v>
      </c>
      <c r="AU33">
        <f t="shared" si="21"/>
        <v>39</v>
      </c>
      <c r="AV33">
        <f t="shared" si="22"/>
        <v>37</v>
      </c>
      <c r="AW33" s="123"/>
    </row>
    <row r="34" spans="29:49">
      <c r="AC34" s="40" t="str">
        <f>D24</f>
        <v>Svobodová Kristýna</v>
      </c>
      <c r="AD34" s="7"/>
      <c r="AE34" s="54" t="str">
        <f>D30</f>
        <v>Maradová Eliška</v>
      </c>
      <c r="AF34" s="22" t="s">
        <v>115</v>
      </c>
      <c r="AG34" s="19" t="s">
        <v>120</v>
      </c>
      <c r="AH34" s="19" t="s">
        <v>108</v>
      </c>
      <c r="AI34" s="19" t="str">
        <f>IF(ISNUMBER($AR34),
      IF(SIGN($AR34)&gt;=0,
           IF( ISBLANK(INDEX('sk C,D - Ženy'!$A$1:'sk C,D - Ženy'!$AM$36,ABS($AR34),COLUMN())),"", INDEX('sk C,D - Ženy'!$A$1:'sk C,D - Ženy'!$AM$36,ABS($AR34),COLUMN())),
           IF(MID(INDEX('sk C,D - Ženy'!$A$1:'sk C,D - Ženy'!$AM$36,ABS($AR34),COLUMN()),1,1)="-",
                MID(INDEX('sk C,D - Ženy'!$A$1:'sk C,D - Ženy'!$AM$36,ABS($AR34),COLUMN()),2,5),
                IF( ISBLANK(INDEX('sk C,D - Ženy'!$A$1:'sk C,D - Ženy'!$AM$36,ABS($AR34),COLUMN())), "",   CONCATENATE("-",INDEX('sk C,D - Ženy'!$A$1:'sk C,D - Ženy'!$AM$36,ABS($AR34),COLUMN()))   )
               )
          ),
        ""
      )</f>
        <v/>
      </c>
      <c r="AJ34" s="52" t="str">
        <f>IF(ISNUMBER($AR34),
      IF(SIGN($AR34)&gt;=0,
           IF( ISBLANK(INDEX('sk C,D - Ženy'!$A$1:'sk C,D - Ženy'!$AM$36,ABS($AR34),COLUMN())),"", INDEX('sk C,D - Ženy'!$A$1:'sk C,D - Ženy'!$AM$36,ABS($AR34),COLUMN())),
           IF(MID(INDEX('sk C,D - Ženy'!$A$1:'sk C,D - Ženy'!$AM$36,ABS($AR34),COLUMN()),1,1)="-",
                MID(INDEX('sk C,D - Ženy'!$A$1:'sk C,D - Ženy'!$AM$36,ABS($AR34),COLUMN()),2,5),
                IF( ISBLANK(INDEX('sk C,D - Ženy'!$A$1:'sk C,D - Ženy'!$AM$36,ABS($AR34),COLUMN())), "",   CONCATENATE("-",INDEX('sk C,D - Ženy'!$A$1:'sk C,D - Ženy'!$AM$36,ABS($AR34),COLUMN()))   )
               )
          ),
        ""
      )</f>
        <v/>
      </c>
      <c r="AK34" s="96">
        <f t="shared" si="23"/>
        <v>0</v>
      </c>
      <c r="AL34" s="13" t="s">
        <v>6</v>
      </c>
      <c r="AM34" s="27">
        <f t="shared" si="24"/>
        <v>3</v>
      </c>
      <c r="AN34" s="9"/>
      <c r="AO34" s="37"/>
      <c r="AP34" s="3">
        <f>A23</f>
        <v>22</v>
      </c>
      <c r="AQ34" s="3">
        <f>A29</f>
        <v>20</v>
      </c>
      <c r="AR34" s="2" t="str">
        <f>IF(ISNA(MATCH(CONCATENATE(AP34,"-",AQ34),'sk C,D - Ženy'!AR$1:'sk C,D - Ženy'!AR$36,0)),  IF(ISNA(MATCH(CONCATENATE(AQ34,"-",AP34),'sk C,D - Ženy'!AR$1:'sk C,D - Ženy'!AR$36,0)),"",-1*MATCH(CONCATENATE(AQ34,"-",AP34),'sk C,D - Ženy'!AR$1:'sk C,D - Ženy'!AR$36,0) ),MATCH(CONCATENATE(AP34,"-",AQ34),'sk C,D - Ženy'!AR$1:'sk C,D - Ženy'!AR$36,0)       )</f>
        <v/>
      </c>
      <c r="AS34">
        <f>$A$27</f>
        <v>18</v>
      </c>
      <c r="AT34" s="123" t="e">
        <f t="shared" ca="1" si="20"/>
        <v>#NAME?</v>
      </c>
      <c r="AU34">
        <f t="shared" si="21"/>
        <v>32</v>
      </c>
      <c r="AV34">
        <f t="shared" si="22"/>
        <v>39</v>
      </c>
      <c r="AW34" s="123"/>
    </row>
    <row r="35" spans="29:49">
      <c r="AC35" s="40" t="str">
        <f>D26</f>
        <v>Krupková Klaudie</v>
      </c>
      <c r="AD35" s="7"/>
      <c r="AE35" s="54" t="str">
        <f>D22</f>
        <v>Zouharová Beáta</v>
      </c>
      <c r="AF35" s="22" t="s">
        <v>102</v>
      </c>
      <c r="AG35" s="19" t="s">
        <v>99</v>
      </c>
      <c r="AH35" s="19" t="s">
        <v>103</v>
      </c>
      <c r="AI35" s="19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J35" s="52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K35" s="96">
        <f t="shared" si="23"/>
        <v>3</v>
      </c>
      <c r="AL35" s="13" t="s">
        <v>6</v>
      </c>
      <c r="AM35" s="27">
        <f t="shared" si="24"/>
        <v>0</v>
      </c>
      <c r="AN35" s="9"/>
      <c r="AO35" s="37"/>
      <c r="AP35" s="3">
        <f>A25</f>
        <v>21</v>
      </c>
      <c r="AQ35" s="3">
        <f>A21</f>
        <v>24</v>
      </c>
      <c r="AR35" s="2" t="str">
        <f>IF(ISNA(MATCH(CONCATENATE(AP35,"-",AQ35),'sk C,D - Ženy'!AR$1:'sk C,D - Ženy'!AR$36,0)),  IF(ISNA(MATCH(CONCATENATE(AQ35,"-",AP35),'sk C,D - Ženy'!AR$1:'sk C,D - Ženy'!AR$36,0)),"",-1*MATCH(CONCATENATE(AQ35,"-",AP35),'sk C,D - Ženy'!AR$1:'sk C,D - Ženy'!AR$36,0) ),MATCH(CONCATENATE(AP35,"-",AQ35),'sk C,D - Ženy'!AR$1:'sk C,D - Ženy'!AR$36,0)       )</f>
        <v/>
      </c>
      <c r="AS35">
        <f>$A$19</f>
        <v>19</v>
      </c>
      <c r="AT35" s="123" t="e">
        <f t="shared" ca="1" si="20"/>
        <v>#NAME?</v>
      </c>
      <c r="AU35">
        <f t="shared" si="21"/>
        <v>33</v>
      </c>
      <c r="AV35">
        <f t="shared" si="22"/>
        <v>17</v>
      </c>
      <c r="AW35" s="123"/>
    </row>
    <row r="36" spans="29:49" ht="13.5" thickBot="1">
      <c r="AC36" s="41" t="str">
        <f>D28</f>
        <v>Hasoňová Jana</v>
      </c>
      <c r="AD36" s="42"/>
      <c r="AE36" s="55" t="str">
        <f>D20</f>
        <v>Žilková Elen</v>
      </c>
      <c r="AF36" s="43" t="s">
        <v>102</v>
      </c>
      <c r="AG36" s="44" t="s">
        <v>101</v>
      </c>
      <c r="AH36" s="44" t="s">
        <v>112</v>
      </c>
      <c r="AI36" s="44" t="str">
        <f>IF(ISNUMBER($AR36),
      IF(SIGN($AR36)&gt;=0,
           IF( ISBLANK(INDEX('sk C,D - Ženy'!$A$1:'sk C,D - Ženy'!$AM$36,ABS($AR36),COLUMN())),"", INDEX('sk C,D - Ženy'!$A$1:'sk C,D - Ženy'!$AM$36,ABS($AR36),COLUMN())),
           IF(MID(INDEX('sk C,D - Ženy'!$A$1:'sk C,D - Ženy'!$AM$36,ABS($AR36),COLUMN()),1,1)="-",
                MID(INDEX('sk C,D - Ženy'!$A$1:'sk C,D - Ženy'!$AM$36,ABS($AR36),COLUMN()),2,5),
                IF( ISBLANK(INDEX('sk C,D - Ženy'!$A$1:'sk C,D - Ženy'!$AM$36,ABS($AR36),COLUMN())), "",   CONCATENATE("-",INDEX('sk C,D - Ženy'!$A$1:'sk C,D - Ženy'!$AM$36,ABS($AR36),COLUMN()))   )
               )
          ),
        ""
      )</f>
        <v/>
      </c>
      <c r="AJ36" s="57" t="str">
        <f>IF(ISNUMBER($AR36),
      IF(SIGN($AR36)&gt;=0,
           IF( ISBLANK(INDEX('sk C,D - Ženy'!$A$1:'sk C,D - Ženy'!$AM$36,ABS($AR36),COLUMN())),"", INDEX('sk C,D - Ženy'!$A$1:'sk C,D - Ženy'!$AM$36,ABS($AR36),COLUMN())),
           IF(MID(INDEX('sk C,D - Ženy'!$A$1:'sk C,D - Ženy'!$AM$36,ABS($AR36),COLUMN()),1,1)="-",
                MID(INDEX('sk C,D - Ženy'!$A$1:'sk C,D - Ženy'!$AM$36,ABS($AR36),COLUMN()),2,5),
                IF( ISBLANK(INDEX('sk C,D - Ženy'!$A$1:'sk C,D - Ženy'!$AM$36,ABS($AR36),COLUMN())), "",   CONCATENATE("-",INDEX('sk C,D - Ženy'!$A$1:'sk C,D - Ženy'!$AM$36,ABS($AR36),COLUMN()))   )
               )
          ),
        ""
      )</f>
        <v/>
      </c>
      <c r="AK36" s="97">
        <f t="shared" si="23"/>
        <v>3</v>
      </c>
      <c r="AL36" s="46" t="s">
        <v>6</v>
      </c>
      <c r="AM36" s="47">
        <f t="shared" si="24"/>
        <v>0</v>
      </c>
      <c r="AN36" s="9"/>
      <c r="AO36" s="37"/>
      <c r="AP36" s="3">
        <f>A27</f>
        <v>18</v>
      </c>
      <c r="AQ36" s="3">
        <f>A19</f>
        <v>19</v>
      </c>
      <c r="AR36" s="2" t="str">
        <f>IF(ISNA(MATCH(CONCATENATE(AP36,"-",AQ36),'sk C,D - Ženy'!AR$1:'sk C,D - Ženy'!AR$36,0)),  IF(ISNA(MATCH(CONCATENATE(AQ36,"-",AP36),'sk C,D - Ženy'!AR$1:'sk C,D - Ženy'!AR$36,0)),"",-1*MATCH(CONCATENATE(AQ36,"-",AP36),'sk C,D - Ženy'!AR$1:'sk C,D - Ženy'!AR$36,0) ),MATCH(CONCATENATE(AP36,"-",AQ36),'sk C,D - Ženy'!AR$1:'sk C,D - Ženy'!AR$36,0)       )</f>
        <v/>
      </c>
      <c r="AS36">
        <f>$A$23</f>
        <v>22</v>
      </c>
      <c r="AT36" s="123" t="e">
        <f t="shared" ca="1" si="20"/>
        <v>#NAME?</v>
      </c>
      <c r="AU36">
        <f t="shared" si="21"/>
        <v>33</v>
      </c>
      <c r="AV36">
        <f t="shared" si="22"/>
        <v>23</v>
      </c>
      <c r="AW36" s="123"/>
    </row>
    <row r="37" spans="29:49">
      <c r="AP37" s="3"/>
      <c r="AQ37" s="3"/>
      <c r="AR37" s="2"/>
      <c r="AS37"/>
    </row>
    <row r="50" spans="1:27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M4:M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L6:L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Y6:Y7"/>
    <mergeCell ref="Z6:Z7"/>
    <mergeCell ref="A8:A9"/>
    <mergeCell ref="C8:C9"/>
    <mergeCell ref="E8:E9"/>
    <mergeCell ref="F8:F9"/>
    <mergeCell ref="G8:G9"/>
    <mergeCell ref="H8:H9"/>
    <mergeCell ref="I8:I9"/>
    <mergeCell ref="S6:S7"/>
    <mergeCell ref="T6:T7"/>
    <mergeCell ref="M6:M7"/>
    <mergeCell ref="N6:N7"/>
    <mergeCell ref="O6:O7"/>
    <mergeCell ref="P6:P7"/>
    <mergeCell ref="Q6:Q7"/>
    <mergeCell ref="R6:R7"/>
    <mergeCell ref="P8:P9"/>
    <mergeCell ref="Q8:Q9"/>
    <mergeCell ref="C10:C11"/>
    <mergeCell ref="E10:E11"/>
    <mergeCell ref="F10:F11"/>
    <mergeCell ref="G10:G11"/>
    <mergeCell ref="H10:H11"/>
    <mergeCell ref="R8:R9"/>
    <mergeCell ref="S8:S9"/>
    <mergeCell ref="T8:T9"/>
    <mergeCell ref="AA6:AA7"/>
    <mergeCell ref="U6:U7"/>
    <mergeCell ref="V6:V7"/>
    <mergeCell ref="W6:W7"/>
    <mergeCell ref="X6:X7"/>
    <mergeCell ref="X8:X9"/>
    <mergeCell ref="Y8:Y9"/>
    <mergeCell ref="Z8:Z9"/>
    <mergeCell ref="AA8:AA9"/>
    <mergeCell ref="U8:U9"/>
    <mergeCell ref="V8:V9"/>
    <mergeCell ref="W8:W9"/>
    <mergeCell ref="J8:J9"/>
    <mergeCell ref="K8:M9"/>
    <mergeCell ref="N8:N9"/>
    <mergeCell ref="O8:O9"/>
    <mergeCell ref="AA10:AA11"/>
    <mergeCell ref="A12:A13"/>
    <mergeCell ref="C12:C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I10:I11"/>
    <mergeCell ref="J10:J11"/>
    <mergeCell ref="K10:K11"/>
    <mergeCell ref="L10:L11"/>
    <mergeCell ref="M10:M11"/>
    <mergeCell ref="N10:P11"/>
    <mergeCell ref="H12:H13"/>
    <mergeCell ref="I12:I13"/>
    <mergeCell ref="J12:J13"/>
    <mergeCell ref="K12:K13"/>
    <mergeCell ref="L12:L13"/>
    <mergeCell ref="A10:A11"/>
    <mergeCell ref="W10:W11"/>
    <mergeCell ref="X10:X11"/>
    <mergeCell ref="Y10:Y11"/>
    <mergeCell ref="V12:V13"/>
    <mergeCell ref="W12:W13"/>
    <mergeCell ref="X12:X13"/>
    <mergeCell ref="Y12:Y13"/>
    <mergeCell ref="Z12:Z13"/>
    <mergeCell ref="Z10:Z11"/>
    <mergeCell ref="AA12:AA13"/>
    <mergeCell ref="N12:N13"/>
    <mergeCell ref="O12:O13"/>
    <mergeCell ref="P12:P13"/>
    <mergeCell ref="Q12:S13"/>
    <mergeCell ref="T12:T13"/>
    <mergeCell ref="U12:U13"/>
    <mergeCell ref="J14:J15"/>
    <mergeCell ref="K14:K15"/>
    <mergeCell ref="L14:L15"/>
    <mergeCell ref="M14:M15"/>
    <mergeCell ref="N14:N15"/>
    <mergeCell ref="P14:P15"/>
    <mergeCell ref="Q14:Q15"/>
    <mergeCell ref="R14:R15"/>
    <mergeCell ref="S14:S15"/>
    <mergeCell ref="T14:V15"/>
    <mergeCell ref="M12:M13"/>
    <mergeCell ref="A14:A15"/>
    <mergeCell ref="C14:C15"/>
    <mergeCell ref="E14:E15"/>
    <mergeCell ref="F14:F15"/>
    <mergeCell ref="G14:G15"/>
    <mergeCell ref="H14:H15"/>
    <mergeCell ref="Z17:Z18"/>
    <mergeCell ref="AA17:AA18"/>
    <mergeCell ref="A19:A20"/>
    <mergeCell ref="C19:C20"/>
    <mergeCell ref="E19:G20"/>
    <mergeCell ref="H19:H20"/>
    <mergeCell ref="I19:I20"/>
    <mergeCell ref="W14:W15"/>
    <mergeCell ref="X14:X15"/>
    <mergeCell ref="Y14:Y15"/>
    <mergeCell ref="Z14:Z15"/>
    <mergeCell ref="AA14:AA15"/>
    <mergeCell ref="C17:D18"/>
    <mergeCell ref="E17:G18"/>
    <mergeCell ref="H17:J18"/>
    <mergeCell ref="K17:M18"/>
    <mergeCell ref="N17:P18"/>
    <mergeCell ref="O14:O15"/>
    <mergeCell ref="I14:I15"/>
    <mergeCell ref="J19:J20"/>
    <mergeCell ref="K19:K20"/>
    <mergeCell ref="L19:L20"/>
    <mergeCell ref="M19:M20"/>
    <mergeCell ref="N19:N20"/>
    <mergeCell ref="O19:O20"/>
    <mergeCell ref="Q17:S18"/>
    <mergeCell ref="T17:V18"/>
    <mergeCell ref="Z19:Z20"/>
    <mergeCell ref="AA19:AA20"/>
    <mergeCell ref="P19:P20"/>
    <mergeCell ref="Q19:Q20"/>
    <mergeCell ref="R19:R20"/>
    <mergeCell ref="S19:S20"/>
    <mergeCell ref="T19:T20"/>
    <mergeCell ref="U19:U20"/>
    <mergeCell ref="V21:V22"/>
    <mergeCell ref="X21:X22"/>
    <mergeCell ref="Y21:Y22"/>
    <mergeCell ref="E21:E22"/>
    <mergeCell ref="F21:F22"/>
    <mergeCell ref="G21:G22"/>
    <mergeCell ref="W21:W22"/>
    <mergeCell ref="W17:Y18"/>
    <mergeCell ref="V19:V20"/>
    <mergeCell ref="W19:W20"/>
    <mergeCell ref="X19:X20"/>
    <mergeCell ref="Y19:Y20"/>
    <mergeCell ref="A23:A24"/>
    <mergeCell ref="C23:C24"/>
    <mergeCell ref="E23:E24"/>
    <mergeCell ref="F23:F24"/>
    <mergeCell ref="G23:G24"/>
    <mergeCell ref="Q21:Q22"/>
    <mergeCell ref="R21:R22"/>
    <mergeCell ref="S21:S22"/>
    <mergeCell ref="T21:T22"/>
    <mergeCell ref="H21:J22"/>
    <mergeCell ref="H23:H24"/>
    <mergeCell ref="I23:I24"/>
    <mergeCell ref="J23:J24"/>
    <mergeCell ref="K23:M24"/>
    <mergeCell ref="N23:N24"/>
    <mergeCell ref="O23:O24"/>
    <mergeCell ref="K21:K22"/>
    <mergeCell ref="L21:L22"/>
    <mergeCell ref="M21:M22"/>
    <mergeCell ref="N21:N22"/>
    <mergeCell ref="O21:O22"/>
    <mergeCell ref="P21:P22"/>
    <mergeCell ref="A21:A22"/>
    <mergeCell ref="C21:C22"/>
    <mergeCell ref="V23:V24"/>
    <mergeCell ref="W23:W24"/>
    <mergeCell ref="X23:X24"/>
    <mergeCell ref="Y23:Y24"/>
    <mergeCell ref="Z21:Z22"/>
    <mergeCell ref="AA23:AA24"/>
    <mergeCell ref="P23:P24"/>
    <mergeCell ref="Q23:Q24"/>
    <mergeCell ref="R23:R24"/>
    <mergeCell ref="S23:S24"/>
    <mergeCell ref="T23:T24"/>
    <mergeCell ref="U23:U24"/>
    <mergeCell ref="Z23:Z24"/>
    <mergeCell ref="AA21:AA22"/>
    <mergeCell ref="U21:U22"/>
    <mergeCell ref="A25:A26"/>
    <mergeCell ref="N27:N28"/>
    <mergeCell ref="O27:O28"/>
    <mergeCell ref="P27:P28"/>
    <mergeCell ref="Q27:S28"/>
    <mergeCell ref="T27:T28"/>
    <mergeCell ref="Z25:Z26"/>
    <mergeCell ref="AA25:AA26"/>
    <mergeCell ref="U25:U26"/>
    <mergeCell ref="V25:V26"/>
    <mergeCell ref="C25:C26"/>
    <mergeCell ref="E25:E26"/>
    <mergeCell ref="F25:F26"/>
    <mergeCell ref="G25:G26"/>
    <mergeCell ref="H27:H28"/>
    <mergeCell ref="I27:I28"/>
    <mergeCell ref="J27:J28"/>
    <mergeCell ref="K27:K28"/>
    <mergeCell ref="W25:W26"/>
    <mergeCell ref="X25:X26"/>
    <mergeCell ref="Y25:Y26"/>
    <mergeCell ref="H25:H26"/>
    <mergeCell ref="V27:V28"/>
    <mergeCell ref="W27:W28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P26"/>
    <mergeCell ref="Z29:Z30"/>
    <mergeCell ref="AA29:AA30"/>
    <mergeCell ref="L27:L28"/>
    <mergeCell ref="M27:M28"/>
    <mergeCell ref="A27:A28"/>
    <mergeCell ref="C27:C28"/>
    <mergeCell ref="E27:E28"/>
    <mergeCell ref="F27:F28"/>
    <mergeCell ref="G27:G28"/>
    <mergeCell ref="X27:X28"/>
    <mergeCell ref="Y27:Y28"/>
    <mergeCell ref="Z27:Z28"/>
    <mergeCell ref="AA27:AA28"/>
    <mergeCell ref="U27:U28"/>
    <mergeCell ref="A29:A30"/>
    <mergeCell ref="C29:C30"/>
    <mergeCell ref="E29:E30"/>
    <mergeCell ref="F29:F30"/>
    <mergeCell ref="G29:G30"/>
    <mergeCell ref="H29:H30"/>
    <mergeCell ref="W29:W30"/>
    <mergeCell ref="X29:X30"/>
    <mergeCell ref="Y29:Y30"/>
    <mergeCell ref="O29:O30"/>
    <mergeCell ref="P29:P30"/>
    <mergeCell ref="Q29:Q30"/>
    <mergeCell ref="R29:R30"/>
    <mergeCell ref="S29:S30"/>
    <mergeCell ref="T29:V30"/>
    <mergeCell ref="I29:I30"/>
    <mergeCell ref="J29:J30"/>
    <mergeCell ref="K29:K30"/>
    <mergeCell ref="L29:L30"/>
    <mergeCell ref="M29:M30"/>
    <mergeCell ref="N29:N30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S105"/>
  <sheetViews>
    <sheetView showGridLines="0" view="pageBreakPreview" zoomScale="70" zoomScaleNormal="48" zoomScaleSheetLayoutView="70" workbookViewId="0">
      <selection activeCell="A20" sqref="A20:C20"/>
    </sheetView>
  </sheetViews>
  <sheetFormatPr defaultRowHeight="12.5"/>
  <cols>
    <col min="1" max="1" width="14.6328125" customWidth="1"/>
    <col min="2" max="6" width="13.7265625" customWidth="1"/>
    <col min="7" max="7" width="4.1796875" customWidth="1"/>
    <col min="8" max="13" width="13.7265625" customWidth="1"/>
    <col min="15" max="15" width="12.453125" bestFit="1" customWidth="1"/>
    <col min="16" max="16" width="39.453125" customWidth="1"/>
  </cols>
  <sheetData>
    <row r="1" spans="1:19" ht="36" customHeight="1">
      <c r="A1" s="208" t="str">
        <f>'sk A,B - Muži'!$C$1</f>
        <v>Žebříčkový turnaj - U11 M - I.stupeň</v>
      </c>
      <c r="B1" s="209"/>
      <c r="C1" s="209"/>
      <c r="D1" s="209"/>
      <c r="E1" s="209"/>
      <c r="F1" s="210"/>
      <c r="H1" s="208" t="str">
        <f>'sk A,B - Muži'!$C$1</f>
        <v>Žebříčkový turnaj - U11 M - I.stupeň</v>
      </c>
      <c r="I1" s="209"/>
      <c r="J1" s="209"/>
      <c r="K1" s="209"/>
      <c r="L1" s="209"/>
      <c r="M1" s="210"/>
    </row>
    <row r="2" spans="1:19" ht="36" customHeight="1" thickBot="1">
      <c r="A2" s="88" t="str">
        <f>CONCATENATE("Sk: ",MID(INDEX('sk A,B - Muži'!$C$1:'sk A,B - Muži'!$C$17,MOD(TRUNC((COLUMN()-1)/7),2 )*15+2,1),LEN("skupina ")+1,1))</f>
        <v>Sk: A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A,B - Muži'!$AE$1</f>
        <v>45773</v>
      </c>
      <c r="E2" s="93"/>
      <c r="F2" s="89" t="str">
        <f>CONCATENATE("stůl č. ",zápis!I4)</f>
        <v xml:space="preserve">stůl č. </v>
      </c>
      <c r="H2" s="88" t="str">
        <f>CONCATENATE("Sk: ",MID(INDEX('sk A,B - Muži'!$C$1:'sk A,B - Muži'!$C$17,MOD(TRUNC((COLUMN()-1)/7),2 )*15+2,1),LEN("skupina ")+1,1))</f>
        <v>Sk: B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A,B - Muži'!$AE$1</f>
        <v>45773</v>
      </c>
      <c r="L2" s="62"/>
      <c r="M2" s="89" t="str">
        <f>CONCATENATE("stůl č. ",zápis!I7)</f>
        <v xml:space="preserve">stůl č. </v>
      </c>
    </row>
    <row r="3" spans="1:19" ht="36" customHeight="1" thickBot="1">
      <c r="A3" s="211" t="str">
        <f>CONCATENATE(IF(COUNTIF(seznam!$A$2:$A$25, INDEX('sk A,B - Muži'!$AP$1:$AP$37,$C2,1) )=1,VLOOKUP(INDEX('sk A,B - Muži'!$AP$1:$AP$37,$C2,1),seznam!$A$2:$C$25,2,FALSE),"------"),"   (",IF(COUNTIF(seznam!$A$2:$A$25, INDEX('sk A,B - Muži'!$AP$1:$AP$37,$C2,1) )=1,VLOOKUP( INDEX('sk A,B - Muži'!$AP$1:$AP$37,$C2,1),seznam!$A$2:$C$25,3,FALSE),"------"),")")</f>
        <v>Voráč Pavel   (KST Blansko)</v>
      </c>
      <c r="B3" s="212"/>
      <c r="C3" s="212"/>
      <c r="D3" s="211" t="str">
        <f>CONCATENATE(IF(COUNTIF(seznam!$A$2:$A$25, INDEX('sk A,B - Muži'!$AQ$1:$AQ$37,$C2,1) )=1,VLOOKUP( INDEX('sk A,B - Muži'!$AQ$1:$AQ$37,$C2,1),seznam!$A$2:$C$25,2,FALSE),"------"),"   (",IF(COUNTIF(seznam!$A$2:$A$25, INDEX('sk A,B - Muži'!$AQ$1:$AQ$37,$C2,1) )=1,VLOOKUP( INDEX('sk A,B - Muži'!$AQ$1:$AQ$37,$C2,1),seznam!$A$2:$C$25,3,FALSE),"------"),")")</f>
        <v>Luhan Adam   (MSK Břeclav)</v>
      </c>
      <c r="E3" s="212"/>
      <c r="F3" s="213"/>
      <c r="H3" s="211" t="str">
        <f>CONCATENATE(IF(COUNTIF(seznam!$A$2:$A$25, INDEX('sk A,B - Muži'!$AP$1:$AP$37,$J2,1) )=1,VLOOKUP(INDEX('sk A,B - Muži'!$AP$1:$AP$37,$J2,1),seznam!$A$2:$C$25,2,FALSE),"------"),"   (",IF(COUNTIF(seznam!$A$2:$A$25, INDEX('sk A,B - Muži'!$AP$1:$AP$37,$J2,1) )=1,VLOOKUP( INDEX('sk A,B - Muži'!$AP$1:$AP$37,$J2,1),seznam!$A$2:$C$25,3,FALSE),"------"),")")</f>
        <v>Peťura Patrik   (Jiskra Strážnice)</v>
      </c>
      <c r="I3" s="212"/>
      <c r="J3" s="212"/>
      <c r="K3" s="211" t="str">
        <f>CONCATENATE(IF(COUNTIF(seznam!$A$2:$A$25, INDEX('sk A,B - Muži'!$AQ$1:$AQ$37,$J2,1) )=1,VLOOKUP( INDEX('sk A,B - Muži'!$AQ$1:$AQ$37,$J2,1),seznam!$A$2:$C$25,2,FALSE),"------"),"   (",IF(COUNTIF(seznam!$A$2:$A$25, INDEX('sk A,B - Muži'!$AQ$1:$AQ$37,$J2,1) )=1,VLOOKUP( INDEX('sk A,B - Muži'!$AQ$1:$AQ$37,$J2,1),seznam!$A$2:$C$25,3,FALSE),"------"),")")</f>
        <v>Plotzer Robin   (MK Řeznovice)</v>
      </c>
      <c r="L3" s="212"/>
      <c r="M3" s="213"/>
    </row>
    <row r="4" spans="1:19" ht="14.25" customHeight="1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>
      <c r="A6" s="202" t="str">
        <f>CONCATENATE("Rozhodčí: ",IFERROR(VLOOKUP('sk A,B - Muži'!$AS$3,seznam!$A$2:$C$25,2),""))</f>
        <v>Rozhodčí: Látal Jan</v>
      </c>
      <c r="B6" s="203"/>
      <c r="C6" s="204"/>
      <c r="D6" s="205" t="s">
        <v>30</v>
      </c>
      <c r="E6" s="206"/>
      <c r="F6" s="207"/>
      <c r="H6" s="202" t="str">
        <f>CONCATENATE("Rozhodčí: ",IFERROR(VLOOKUP('sk A,B - Muži'!$AS$6,seznam!$A$2:$C$25,2),""))</f>
        <v>Rozhodčí: Pantlík Daniel</v>
      </c>
      <c r="I6" s="203"/>
      <c r="J6" s="204"/>
      <c r="K6" s="205" t="s">
        <v>30</v>
      </c>
      <c r="L6" s="206"/>
      <c r="M6" s="207"/>
    </row>
    <row r="7" spans="1:19" ht="18" customHeight="1" thickBot="1">
      <c r="S7" s="99"/>
    </row>
    <row r="8" spans="1:19" ht="36" customHeight="1">
      <c r="A8" s="208" t="str">
        <f>'sk A,B - Muži'!$C$1</f>
        <v>Žebříčkový turnaj - U11 M - I.stupeň</v>
      </c>
      <c r="B8" s="209"/>
      <c r="C8" s="209"/>
      <c r="D8" s="209"/>
      <c r="E8" s="209"/>
      <c r="F8" s="210"/>
      <c r="H8" s="208" t="str">
        <f>'sk A,B - Muži'!$C$1</f>
        <v>Žebříčkový turnaj - U11 M - I.stupeň</v>
      </c>
      <c r="I8" s="209"/>
      <c r="J8" s="209"/>
      <c r="K8" s="209"/>
      <c r="L8" s="209"/>
      <c r="M8" s="210"/>
    </row>
    <row r="9" spans="1:19" ht="36" customHeight="1" thickBot="1">
      <c r="A9" s="88" t="str">
        <f>CONCATENATE("Sk: ",MID(INDEX('sk A,B - Muži'!$C$1:'sk A,B - Muži'!$C$17,MOD(TRUNC((COLUMN()-1)/7),2 )*15+2,1),LEN("skupina ")+1,1))</f>
        <v>Sk: A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A,B - Muži'!$AE$1</f>
        <v>45773</v>
      </c>
      <c r="E9" s="62"/>
      <c r="F9" s="89" t="str">
        <f>CONCATENATE("stůl č. ",zápis!I5)</f>
        <v xml:space="preserve">stůl č. </v>
      </c>
      <c r="H9" s="88" t="str">
        <f>CONCATENATE("Sk: ",MID(INDEX('sk A,B - Muži'!$C$1:'sk A,B - Muži'!$C$17,MOD(TRUNC((COLUMN()-1)/7),2 )*15+2,1),LEN("skupina ")+1,1))</f>
        <v>Sk: B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A,B - Muži'!$AE$1</f>
        <v>45773</v>
      </c>
      <c r="L9" s="62"/>
      <c r="M9" s="89" t="str">
        <f>CONCATENATE("stůl č. ",zápis!I8)</f>
        <v xml:space="preserve">stůl č. </v>
      </c>
    </row>
    <row r="10" spans="1:19" ht="36" customHeight="1" thickBot="1">
      <c r="A10" s="211" t="str">
        <f>CONCATENATE(IF(COUNTIF(seznam!$A$2:$A$25, INDEX('sk A,B - Muži'!$AP$1:$AP$37,$C9,1) )=1,VLOOKUP(INDEX('sk A,B - Muži'!$AP$1:$AP$37,$C9,1),seznam!$A$2:$C$25,2,FALSE),"------"),"   (",IF(COUNTIF(seznam!$A$2:$A$25, INDEX('sk A,B - Muži'!$AP$1:$AP$37,$C9,1) )=1,VLOOKUP( INDEX('sk A,B - Muži'!$AP$1:$AP$37,$C9,1),seznam!$A$2:$C$25,3,FALSE),"------"),")")</f>
        <v>Spěvák Šimon   (KST FOSFA LVA)</v>
      </c>
      <c r="B10" s="212"/>
      <c r="C10" s="212"/>
      <c r="D10" s="211" t="str">
        <f>CONCATENATE(IF(COUNTIF(seznam!$A$2:$A$25, INDEX('sk A,B - Muži'!$AQ$1:$AQ$37,$C9,1) )=1,VLOOKUP( INDEX('sk A,B - Muži'!$AQ$1:$AQ$37,$C9,1),seznam!$A$2:$C$25,2,FALSE),"------"),"   (",IF(COUNTIF(seznam!$A$2:$A$25, INDEX('sk A,B - Muži'!$AQ$1:$AQ$37,$C9,1) )=1,VLOOKUP( INDEX('sk A,B - Muži'!$AQ$1:$AQ$37,$C9,1),seznam!$A$2:$C$25,3,FALSE),"------"),")")</f>
        <v>Šimon Samuel   (KST FOSFA LVA)</v>
      </c>
      <c r="E10" s="212"/>
      <c r="F10" s="213"/>
      <c r="H10" s="211" t="str">
        <f>CONCATENATE(IF(COUNTIF(seznam!$A$2:$A$25, INDEX('sk A,B - Muži'!$AP$1:$AP$37,$J9,1) )=1,VLOOKUP(INDEX('sk A,B - Muži'!$AP$1:$AP$37,$J9,1),seznam!$A$2:$C$25,2,FALSE),"------"),"   (",IF(COUNTIF(seznam!$A$2:$A$25, INDEX('sk A,B - Muži'!$AP$1:$AP$37,$J9,1) )=1,VLOOKUP( INDEX('sk A,B - Muži'!$AP$1:$AP$37,$J9,1),seznam!$A$2:$C$25,3,FALSE),"------"),")")</f>
        <v>Ides Samuel Hugo   (Sokol Brno I)</v>
      </c>
      <c r="I10" s="212"/>
      <c r="J10" s="212"/>
      <c r="K10" s="211" t="str">
        <f>CONCATENATE(IF(COUNTIF(seznam!$A$2:$A$25, INDEX('sk A,B - Muži'!$AQ$1:$AQ$37,$J9,1) )=1,VLOOKUP( INDEX('sk A,B - Muži'!$AQ$1:$AQ$37,$J9,1),seznam!$A$2:$C$25,2,FALSE),"------"),"   (",IF(COUNTIF(seznam!$A$2:$A$25, INDEX('sk A,B - Muži'!$AQ$1:$AQ$37,$J9,1) )=1,VLOOKUP( INDEX('sk A,B - Muži'!$AQ$1:$AQ$37,$J9,1),seznam!$A$2:$C$25,3,FALSE),"------"),")")</f>
        <v>Kmenta Josef   (SKST Hodonín)</v>
      </c>
      <c r="L10" s="212"/>
      <c r="M10" s="213"/>
    </row>
    <row r="11" spans="1:19" ht="14.25" customHeight="1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9" ht="36" customHeight="1" thickBot="1">
      <c r="A13" s="202" t="str">
        <f>CONCATENATE("Rozhodčí: ",IFERROR(VLOOKUP('sk A,B - Muži'!$AS$4,seznam!$A$2:$C$25,2),""))</f>
        <v>Rozhodčí: Tomeček Richard</v>
      </c>
      <c r="B13" s="203"/>
      <c r="C13" s="204"/>
      <c r="D13" s="205" t="s">
        <v>30</v>
      </c>
      <c r="E13" s="206"/>
      <c r="F13" s="207"/>
      <c r="H13" s="202" t="str">
        <f>CONCATENATE("Rozhodčí: ",IFERROR(VLOOKUP('sk A,B - Muži'!$AS$7,seznam!$A$2:$C$25,2),""))</f>
        <v>Rozhodčí: Omelka Marek</v>
      </c>
      <c r="I13" s="203"/>
      <c r="J13" s="204"/>
      <c r="K13" s="205" t="s">
        <v>30</v>
      </c>
      <c r="L13" s="206"/>
      <c r="M13" s="207"/>
    </row>
    <row r="14" spans="1:19" ht="18" customHeight="1" thickBot="1"/>
    <row r="15" spans="1:19" ht="36" customHeight="1">
      <c r="A15" s="208" t="str">
        <f>'sk A,B - Muži'!$C$1</f>
        <v>Žebříčkový turnaj - U11 M - I.stupeň</v>
      </c>
      <c r="B15" s="209"/>
      <c r="C15" s="209"/>
      <c r="D15" s="209"/>
      <c r="E15" s="209"/>
      <c r="F15" s="210"/>
      <c r="H15" s="208" t="str">
        <f>'sk A,B - Muži'!$C$1</f>
        <v>Žebříčkový turnaj - U11 M - I.stupeň</v>
      </c>
      <c r="I15" s="209"/>
      <c r="J15" s="209"/>
      <c r="K15" s="209"/>
      <c r="L15" s="209"/>
      <c r="M15" s="210"/>
    </row>
    <row r="16" spans="1:19" ht="36" customHeight="1" thickBot="1">
      <c r="A16" s="88" t="str">
        <f>CONCATENATE("Sk: ",MID(INDEX('sk A,B - Muži'!$C$1:'sk A,B - Muži'!$C$17,MOD(TRUNC((COLUMN()-1)/7),2 )*15+2,1),LEN("skupina ")+1,1))</f>
        <v>Sk: A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A,B - Muži'!$AE$1</f>
        <v>45773</v>
      </c>
      <c r="E16" s="62"/>
      <c r="F16" s="89" t="str">
        <f>CONCATENATE("stůl č. ",zápis!I6)</f>
        <v xml:space="preserve">stůl č. </v>
      </c>
      <c r="H16" s="88" t="str">
        <f>CONCATENATE("Sk: ",MID(INDEX('sk A,B - Muži'!$C$1:'sk A,B - Muži'!$C$17,MOD(TRUNC((COLUMN()-1)/7),2 )*15+2,1),LEN("skupina ")+1,1))</f>
        <v>Sk: B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A,B - Muži'!$AE$1</f>
        <v>45773</v>
      </c>
      <c r="L16" s="62"/>
      <c r="M16" s="89" t="str">
        <f>CONCATENATE("stůl č. ",zápis!I9)</f>
        <v xml:space="preserve">stůl č. </v>
      </c>
    </row>
    <row r="17" spans="1:13" ht="36" customHeight="1" thickBot="1">
      <c r="A17" s="211" t="str">
        <f>CONCATENATE(IF(COUNTIF(seznam!$A$2:$A$25, INDEX('sk A,B - Muži'!$AP$1:$AP$37,$C16,1) )=1,VLOOKUP(INDEX('sk A,B - Muži'!$AP$1:$AP$37,$C16,1),seznam!$A$2:$C$25,2,FALSE),"------"),"   (",IF(COUNTIF(seznam!$A$2:$A$25, INDEX('sk A,B - Muži'!$AP$1:$AP$37,$C16,1) )=1,VLOOKUP( INDEX('sk A,B - Muži'!$AP$1:$AP$37,$C16,1),seznam!$A$2:$C$25,3,FALSE),"------"),")")</f>
        <v>Látal Jan   (Jiskra Strážnice)</v>
      </c>
      <c r="B17" s="212"/>
      <c r="C17" s="212"/>
      <c r="D17" s="211" t="str">
        <f>CONCATENATE(IF(COUNTIF(seznam!$A$2:$A$25, INDEX('sk A,B - Muži'!$AQ$1:$AQ$37,$C16,1) )=1,VLOOKUP( INDEX('sk A,B - Muži'!$AQ$1:$AQ$37,$C16,1),seznam!$A$2:$C$25,2,FALSE),"------"),"   (",IF(COUNTIF(seznam!$A$2:$A$25, INDEX('sk A,B - Muži'!$AQ$1:$AQ$37,$C16,1) )=1,VLOOKUP( INDEX('sk A,B - Muži'!$AQ$1:$AQ$37,$C16,1),seznam!$A$2:$C$25,3,FALSE),"------"),")")</f>
        <v>Tomeček Richard   (Jiskra Strážnice)</v>
      </c>
      <c r="E17" s="212"/>
      <c r="F17" s="213"/>
      <c r="H17" s="211" t="str">
        <f>CONCATENATE(IF(COUNTIF(seznam!$A$2:$A$25, INDEX('sk A,B - Muži'!$AP$1:$AP$37,$J16,1) )=1,VLOOKUP(INDEX('sk A,B - Muži'!$AP$1:$AP$37,$J16,1),seznam!$A$2:$C$25,2,FALSE),"------"),"   (",IF(COUNTIF(seznam!$A$2:$A$25, INDEX('sk A,B - Muži'!$AP$1:$AP$37,$J16,1) )=1,VLOOKUP( INDEX('sk A,B - Muži'!$AP$1:$AP$37,$J16,1),seznam!$A$2:$C$25,3,FALSE),"------"),")")</f>
        <v>Pantlík Daniel   (MK Řeznovice)</v>
      </c>
      <c r="I17" s="212"/>
      <c r="J17" s="212"/>
      <c r="K17" s="211" t="str">
        <f>CONCATENATE(IF(COUNTIF(seznam!$A$2:$A$25, INDEX('sk A,B - Muži'!$AQ$1:$AQ$37,$J16,1) )=1,VLOOKUP( INDEX('sk A,B - Muži'!$AQ$1:$AQ$37,$J16,1),seznam!$A$2:$C$25,2,FALSE),"------"),"   (",IF(COUNTIF(seznam!$A$2:$A$25, INDEX('sk A,B - Muži'!$AQ$1:$AQ$37,$J16,1) )=1,VLOOKUP( INDEX('sk A,B - Muži'!$AQ$1:$AQ$37,$J16,1),seznam!$A$2:$C$25,3,FALSE),"------"),")")</f>
        <v>Omelka Marek   (KST FOSFA LVA)</v>
      </c>
      <c r="L17" s="212"/>
      <c r="M17" s="213"/>
    </row>
    <row r="18" spans="1:13" ht="14.25" customHeight="1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>
      <c r="A20" s="202" t="str">
        <f>CONCATENATE("Rozhodčí: ",IFERROR(VLOOKUP('sk A,B - Muži'!$AS$5,seznam!$A$2:$C$25,2),""))</f>
        <v>Rozhodčí: Voráč Pavel</v>
      </c>
      <c r="B20" s="203"/>
      <c r="C20" s="204"/>
      <c r="D20" s="205" t="s">
        <v>30</v>
      </c>
      <c r="E20" s="206"/>
      <c r="F20" s="207"/>
      <c r="H20" s="202" t="str">
        <f>CONCATENATE("Rozhodčí: ",IFERROR(VLOOKUP('sk A,B - Muži'!$AS$8,seznam!$A$2:$C$25,2),""))</f>
        <v>Rozhodčí: Peťura Patrik</v>
      </c>
      <c r="I20" s="203"/>
      <c r="J20" s="204"/>
      <c r="K20" s="205" t="s">
        <v>30</v>
      </c>
      <c r="L20" s="206"/>
      <c r="M20" s="207"/>
    </row>
    <row r="21" spans="1:13" ht="18" customHeight="1" thickBot="1"/>
    <row r="22" spans="1:13" ht="36" customHeight="1">
      <c r="A22" s="208" t="str">
        <f>'sk A,B - Muži'!$C$1</f>
        <v>Žebříčkový turnaj - U11 M - I.stupeň</v>
      </c>
      <c r="B22" s="209"/>
      <c r="C22" s="209"/>
      <c r="D22" s="209"/>
      <c r="E22" s="209"/>
      <c r="F22" s="210"/>
      <c r="H22" s="208" t="str">
        <f>'sk A,B - Muži'!$C$1</f>
        <v>Žebříčkový turnaj - U11 M - I.stupeň</v>
      </c>
      <c r="I22" s="209"/>
      <c r="J22" s="209"/>
      <c r="K22" s="209"/>
      <c r="L22" s="209"/>
      <c r="M22" s="210"/>
    </row>
    <row r="23" spans="1:13" ht="36" customHeight="1" thickBot="1">
      <c r="A23" s="88" t="str">
        <f>CONCATENATE("Sk: ",MID(INDEX('sk A,B - Muži'!$C$1:'sk A,B - Muži'!$C$17,MOD(TRUNC((COLUMN()-1)/7),2 )*15+2,1),LEN("skupina ")+1,1))</f>
        <v>Sk: A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A,B - Muži'!$AE$1</f>
        <v>45773</v>
      </c>
      <c r="E23" s="93"/>
      <c r="F23" s="89" t="str">
        <f>CONCATENATE("stůl č. ",zápis!I25)</f>
        <v xml:space="preserve">stůl č. </v>
      </c>
      <c r="H23" s="88" t="str">
        <f>CONCATENATE("Sk: ",MID(INDEX('sk A,B - Muži'!$C$1:'sk A,B - Muži'!$C$17,MOD(TRUNC((COLUMN()-1)/7),2 )*15+2,1),LEN("skupina ")+1,1))</f>
        <v>Sk: B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A,B - Muži'!$AE$1</f>
        <v>45773</v>
      </c>
      <c r="L23" s="62"/>
      <c r="M23" s="89" t="str">
        <f>CONCATENATE("stůl č. ",zápis!I28)</f>
        <v xml:space="preserve">stůl č. </v>
      </c>
    </row>
    <row r="24" spans="1:13" ht="36" customHeight="1" thickBot="1">
      <c r="A24" s="211" t="str">
        <f>CONCATENATE(IF(COUNTIF(seznam!$A$2:$A$25, INDEX('sk A,B - Muži'!$AP$1:$AP$37,$C23,1) )=1,VLOOKUP(INDEX('sk A,B - Muži'!$AP$1:$AP$37,$C23,1),seznam!$A$2:$C$25,2,FALSE),"------"),"   (",IF(COUNTIF(seznam!$A$2:$A$25, INDEX('sk A,B - Muži'!$AP$1:$AP$37,$C23,1) )=1,VLOOKUP( INDEX('sk A,B - Muži'!$AP$1:$AP$37,$C23,1),seznam!$A$2:$C$25,3,FALSE),"------"),")")</f>
        <v>Luhan Adam   (MSK Břeclav)</v>
      </c>
      <c r="B24" s="212"/>
      <c r="C24" s="212"/>
      <c r="D24" s="211" t="str">
        <f>CONCATENATE(IF(COUNTIF(seznam!$A$2:$A$25, INDEX('sk A,B - Muži'!$AQ$1:$AQ$37,$C23,1) )=1,VLOOKUP( INDEX('sk A,B - Muži'!$AQ$1:$AQ$37,$C23,1),seznam!$A$2:$C$25,2,FALSE),"------"),"   (",IF(COUNTIF(seznam!$A$2:$A$25, INDEX('sk A,B - Muži'!$AQ$1:$AQ$37,$C23,1) )=1,VLOOKUP( INDEX('sk A,B - Muži'!$AQ$1:$AQ$37,$C23,1),seznam!$A$2:$C$25,3,FALSE),"------"),")")</f>
        <v>Tomeček Richard   (Jiskra Strážnice)</v>
      </c>
      <c r="E24" s="212"/>
      <c r="F24" s="213"/>
      <c r="H24" s="211" t="str">
        <f>CONCATENATE(IF(COUNTIF(seznam!$A$2:$A$25, INDEX('sk A,B - Muži'!$AP$1:$AP$37,$J23,1) )=1,VLOOKUP(INDEX('sk A,B - Muži'!$AP$1:$AP$37,$J23,1),seznam!$A$2:$C$25,2,FALSE),"------"),"   (",IF(COUNTIF(seznam!$A$2:$A$25, INDEX('sk A,B - Muži'!$AP$1:$AP$37,$J23,1) )=1,VLOOKUP( INDEX('sk A,B - Muži'!$AP$1:$AP$37,$J23,1),seznam!$A$2:$C$25,3,FALSE),"------"),")")</f>
        <v>Plotzer Robin   (MK Řeznovice)</v>
      </c>
      <c r="I24" s="212"/>
      <c r="J24" s="212"/>
      <c r="K24" s="211" t="str">
        <f>CONCATENATE(IF(COUNTIF(seznam!$A$2:$A$25, INDEX('sk A,B - Muži'!$AQ$1:$AQ$37,$J23,1) )=1,VLOOKUP( INDEX('sk A,B - Muži'!$AQ$1:$AQ$37,$J23,1),seznam!$A$2:$C$25,2,FALSE),"------"),"   (",IF(COUNTIF(seznam!$A$2:$A$25, INDEX('sk A,B - Muži'!$AQ$1:$AQ$37,$J23,1) )=1,VLOOKUP( INDEX('sk A,B - Muži'!$AQ$1:$AQ$37,$J23,1),seznam!$A$2:$C$25,3,FALSE),"------"),")")</f>
        <v>Omelka Marek   (KST FOSFA LVA)</v>
      </c>
      <c r="L24" s="212"/>
      <c r="M24" s="213"/>
    </row>
    <row r="25" spans="1:13" ht="14.25" customHeight="1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>
      <c r="A27" s="202" t="str">
        <f>CONCATENATE("Rozhodčí: ",IFERROR(VLOOKUP('sk A,B - Muži'!$AS$10,seznam!$A$2:$C$25,2),""))</f>
        <v>Rozhodčí: Šimon Samuel</v>
      </c>
      <c r="B27" s="203"/>
      <c r="C27" s="204"/>
      <c r="D27" s="205" t="s">
        <v>30</v>
      </c>
      <c r="E27" s="206"/>
      <c r="F27" s="207"/>
      <c r="H27" s="202" t="str">
        <f>CONCATENATE("Rozhodčí: ",IFERROR(VLOOKUP('sk A,B - Muži'!$AS$13,seznam!$A$2:$C$25,2),""))</f>
        <v>Rozhodčí: Kmenta Josef</v>
      </c>
      <c r="I27" s="203"/>
      <c r="J27" s="204"/>
      <c r="K27" s="205" t="s">
        <v>30</v>
      </c>
      <c r="L27" s="206"/>
      <c r="M27" s="207"/>
    </row>
    <row r="28" spans="1:13" ht="18" customHeight="1" thickBot="1"/>
    <row r="29" spans="1:13" ht="36" customHeight="1">
      <c r="A29" s="208" t="str">
        <f>'sk A,B - Muži'!$C$1</f>
        <v>Žebříčkový turnaj - U11 M - I.stupeň</v>
      </c>
      <c r="B29" s="209"/>
      <c r="C29" s="209"/>
      <c r="D29" s="209"/>
      <c r="E29" s="209"/>
      <c r="F29" s="210"/>
      <c r="H29" s="208" t="str">
        <f>'sk A,B - Muži'!$C$1</f>
        <v>Žebříčkový turnaj - U11 M - I.stupeň</v>
      </c>
      <c r="I29" s="209"/>
      <c r="J29" s="209"/>
      <c r="K29" s="209"/>
      <c r="L29" s="209"/>
      <c r="M29" s="210"/>
    </row>
    <row r="30" spans="1:13" ht="36" customHeight="1" thickBot="1">
      <c r="A30" s="88" t="str">
        <f>CONCATENATE("Sk: ",MID(INDEX('sk A,B - Muži'!$C$1:'sk A,B - Muži'!$C$17,MOD(TRUNC((COLUMN()-1)/7),2 )*15+2,1),LEN("skupina ")+1,1))</f>
        <v>Sk: A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A,B - Muži'!$AE$1</f>
        <v>45773</v>
      </c>
      <c r="E30" s="62"/>
      <c r="F30" s="89" t="str">
        <f>CONCATENATE("stůl č. ",zápis!I26)</f>
        <v xml:space="preserve">stůl č. </v>
      </c>
      <c r="H30" s="88" t="str">
        <f>CONCATENATE("Sk: ",MID(INDEX('sk A,B - Muži'!$C$1:'sk A,B - Muži'!$C$17,MOD(TRUNC((COLUMN()-1)/7),2 )*15+2,1),LEN("skupina ")+1,1))</f>
        <v>Sk: B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A,B - Muži'!$AE$1</f>
        <v>45773</v>
      </c>
      <c r="L30" s="62"/>
      <c r="M30" s="89" t="str">
        <f>CONCATENATE("stůl č. ",zápis!I29)</f>
        <v xml:space="preserve">stůl č. </v>
      </c>
    </row>
    <row r="31" spans="1:13" ht="36" customHeight="1" thickBot="1">
      <c r="A31" s="211" t="str">
        <f>CONCATENATE(IF(COUNTIF(seznam!$A$2:$A$25, INDEX('sk A,B - Muži'!$AP$1:$AP$37,$C30,1) )=1,VLOOKUP(INDEX('sk A,B - Muži'!$AP$1:$AP$37,$C30,1),seznam!$A$2:$C$25,2,FALSE),"------"),"   (",IF(COUNTIF(seznam!$A$2:$A$25, INDEX('sk A,B - Muži'!$AP$1:$AP$37,$C30,1) )=1,VLOOKUP( INDEX('sk A,B - Muži'!$AP$1:$AP$37,$C30,1),seznam!$A$2:$C$25,3,FALSE),"------"),")")</f>
        <v>Šimon Samuel   (KST FOSFA LVA)</v>
      </c>
      <c r="B31" s="212"/>
      <c r="C31" s="212"/>
      <c r="D31" s="211" t="str">
        <f>CONCATENATE(IF(COUNTIF(seznam!$A$2:$A$25, INDEX('sk A,B - Muži'!$AQ$1:$AQ$37,$C30,1) )=1,VLOOKUP( INDEX('sk A,B - Muži'!$AQ$1:$AQ$37,$C30,1),seznam!$A$2:$C$25,2,FALSE),"------"),"   (",IF(COUNTIF(seznam!$A$2:$A$25, INDEX('sk A,B - Muži'!$AQ$1:$AQ$37,$C30,1) )=1,VLOOKUP( INDEX('sk A,B - Muži'!$AQ$1:$AQ$37,$C30,1),seznam!$A$2:$C$25,3,FALSE),"------"),")")</f>
        <v>Látal Jan   (Jiskra Strážnice)</v>
      </c>
      <c r="E31" s="212"/>
      <c r="F31" s="213"/>
      <c r="H31" s="211" t="str">
        <f>CONCATENATE(IF(COUNTIF(seznam!$A$2:$A$25, INDEX('sk A,B - Muži'!$AP$1:$AP$37,$J30,1) )=1,VLOOKUP(INDEX('sk A,B - Muži'!$AP$1:$AP$37,$J30,1),seznam!$A$2:$C$25,2,FALSE),"------"),"   (",IF(COUNTIF(seznam!$A$2:$A$25, INDEX('sk A,B - Muži'!$AP$1:$AP$37,$J30,1) )=1,VLOOKUP( INDEX('sk A,B - Muži'!$AP$1:$AP$37,$J30,1),seznam!$A$2:$C$25,3,FALSE),"------"),")")</f>
        <v>Kmenta Josef   (SKST Hodonín)</v>
      </c>
      <c r="I31" s="212"/>
      <c r="J31" s="212"/>
      <c r="K31" s="211" t="str">
        <f>CONCATENATE(IF(COUNTIF(seznam!$A$2:$A$25, INDEX('sk A,B - Muži'!$AQ$1:$AQ$37,$J30,1) )=1,VLOOKUP( INDEX('sk A,B - Muži'!$AQ$1:$AQ$37,$J30,1),seznam!$A$2:$C$25,2,FALSE),"------"),"   (",IF(COUNTIF(seznam!$A$2:$A$25, INDEX('sk A,B - Muži'!$AQ$1:$AQ$37,$J30,1) )=1,VLOOKUP( INDEX('sk A,B - Muži'!$AQ$1:$AQ$37,$J30,1),seznam!$A$2:$C$25,3,FALSE),"------"),")")</f>
        <v>Pantlík Daniel   (MK Řeznovice)</v>
      </c>
      <c r="L31" s="212"/>
      <c r="M31" s="213"/>
    </row>
    <row r="32" spans="1:13" ht="14.25" customHeight="1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>
      <c r="A34" s="202" t="str">
        <f>CONCATENATE("Rozhodčí: ",IFERROR(VLOOKUP('sk A,B - Muži'!$AS$11,seznam!$A$2:$C$25,2),""))</f>
        <v>Rozhodčí: Spěvák Šimon</v>
      </c>
      <c r="B34" s="203"/>
      <c r="C34" s="204"/>
      <c r="D34" s="205" t="s">
        <v>30</v>
      </c>
      <c r="E34" s="206"/>
      <c r="F34" s="207"/>
      <c r="H34" s="202" t="str">
        <f>CONCATENATE("Rozhodčí: ",IFERROR(VLOOKUP('sk A,B - Muži'!$AS$14,seznam!$A$2:$C$25,2),""))</f>
        <v>Rozhodčí: Ides Samuel Hugo</v>
      </c>
      <c r="I34" s="203"/>
      <c r="J34" s="204"/>
      <c r="K34" s="205" t="s">
        <v>30</v>
      </c>
      <c r="L34" s="206"/>
      <c r="M34" s="207"/>
    </row>
    <row r="35" spans="1:13" ht="18" customHeight="1" thickBot="1"/>
    <row r="36" spans="1:13" ht="36" customHeight="1">
      <c r="A36" s="208" t="str">
        <f>'sk A,B - Muži'!$C$1</f>
        <v>Žebříčkový turnaj - U11 M - I.stupeň</v>
      </c>
      <c r="B36" s="209"/>
      <c r="C36" s="209"/>
      <c r="D36" s="209"/>
      <c r="E36" s="209"/>
      <c r="F36" s="210"/>
      <c r="H36" s="208" t="str">
        <f>'sk A,B - Muži'!$C$1</f>
        <v>Žebříčkový turnaj - U11 M - I.stupeň</v>
      </c>
      <c r="I36" s="209"/>
      <c r="J36" s="209"/>
      <c r="K36" s="209"/>
      <c r="L36" s="209"/>
      <c r="M36" s="210"/>
    </row>
    <row r="37" spans="1:13" ht="36" customHeight="1" thickBot="1">
      <c r="A37" s="88" t="str">
        <f>CONCATENATE("Sk: ",MID(INDEX('sk A,B - Muži'!$C$1:'sk A,B - Muži'!$C$17,MOD(TRUNC((COLUMN()-1)/7),2 )*15+2,1),LEN("skupina ")+1,1))</f>
        <v>Sk: A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A,B - Muži'!$AE$1</f>
        <v>45773</v>
      </c>
      <c r="E37" s="62"/>
      <c r="F37" s="89" t="str">
        <f>CONCATENATE("stůl č. ",zápis!I27)</f>
        <v xml:space="preserve">stůl č. </v>
      </c>
      <c r="H37" s="88" t="str">
        <f>CONCATENATE("Sk: ",MID(INDEX('sk A,B - Muži'!$C$1:'sk A,B - Muži'!$C$17,MOD(TRUNC((COLUMN()-1)/7),2 )*15+2,1),LEN("skupina ")+1,1))</f>
        <v>Sk: B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A,B - Muži'!$AE$1</f>
        <v>45773</v>
      </c>
      <c r="L37" s="62"/>
      <c r="M37" s="89" t="str">
        <f>CONCATENATE("stůl č. ",zápis!I30)</f>
        <v xml:space="preserve">stůl č. </v>
      </c>
    </row>
    <row r="38" spans="1:13" ht="36" customHeight="1" thickBot="1">
      <c r="A38" s="211" t="str">
        <f>CONCATENATE(IF(COUNTIF(seznam!$A$2:$A$25, INDEX('sk A,B - Muži'!$AP$1:$AP$37,$C37,1) )=1,VLOOKUP(INDEX('sk A,B - Muži'!$AP$1:$AP$37,$C37,1),seznam!$A$2:$C$25,2,FALSE),"------"),"   (",IF(COUNTIF(seznam!$A$2:$A$25, INDEX('sk A,B - Muži'!$AP$1:$AP$37,$C37,1) )=1,VLOOKUP( INDEX('sk A,B - Muži'!$AP$1:$AP$37,$C37,1),seznam!$A$2:$C$25,3,FALSE),"------"),")")</f>
        <v>Voráč Pavel   (KST Blansko)</v>
      </c>
      <c r="B38" s="212"/>
      <c r="C38" s="212"/>
      <c r="D38" s="211" t="str">
        <f>CONCATENATE(IF(COUNTIF(seznam!$A$2:$A$25, INDEX('sk A,B - Muži'!$AQ$1:$AQ$37,$C37,1) )=1,VLOOKUP( INDEX('sk A,B - Muži'!$AQ$1:$AQ$37,$C37,1),seznam!$A$2:$C$25,2,FALSE),"------"),"   (",IF(COUNTIF(seznam!$A$2:$A$25, INDEX('sk A,B - Muži'!$AQ$1:$AQ$37,$C37,1) )=1,VLOOKUP( INDEX('sk A,B - Muži'!$AQ$1:$AQ$37,$C37,1),seznam!$A$2:$C$25,3,FALSE),"------"),")")</f>
        <v>Spěvák Šimon   (KST FOSFA LVA)</v>
      </c>
      <c r="E38" s="212"/>
      <c r="F38" s="213"/>
      <c r="H38" s="211" t="str">
        <f>CONCATENATE(IF(COUNTIF(seznam!$A$2:$A$25, INDEX('sk A,B - Muži'!$AP$1:$AP$37,$J37,1) )=1,VLOOKUP(INDEX('sk A,B - Muži'!$AP$1:$AP$37,$J37,1),seznam!$A$2:$C$25,2,FALSE),"------"),"   (",IF(COUNTIF(seznam!$A$2:$A$25, INDEX('sk A,B - Muži'!$AP$1:$AP$37,$J37,1) )=1,VLOOKUP( INDEX('sk A,B - Muži'!$AP$1:$AP$37,$J37,1),seznam!$A$2:$C$25,3,FALSE),"------"),")")</f>
        <v>Peťura Patrik   (Jiskra Strážnice)</v>
      </c>
      <c r="I38" s="212"/>
      <c r="J38" s="212"/>
      <c r="K38" s="211" t="str">
        <f>CONCATENATE(IF(COUNTIF(seznam!$A$2:$A$25, INDEX('sk A,B - Muži'!$AQ$1:$AQ$37,$J37,1) )=1,VLOOKUP( INDEX('sk A,B - Muži'!$AQ$1:$AQ$37,$J37,1),seznam!$A$2:$C$25,2,FALSE),"------"),"   (",IF(COUNTIF(seznam!$A$2:$A$25, INDEX('sk A,B - Muži'!$AQ$1:$AQ$37,$J37,1) )=1,VLOOKUP( INDEX('sk A,B - Muži'!$AQ$1:$AQ$37,$J37,1),seznam!$A$2:$C$25,3,FALSE),"------"),")")</f>
        <v>Ides Samuel Hugo   (Sokol Brno I)</v>
      </c>
      <c r="L38" s="212"/>
      <c r="M38" s="213"/>
    </row>
    <row r="39" spans="1:13" ht="14.25" customHeight="1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>
      <c r="A41" s="202" t="str">
        <f>CONCATENATE("Rozhodčí: ",IFERROR(VLOOKUP('sk A,B - Muži'!$AS$12,seznam!$A$2:$C$25,2),""))</f>
        <v>Rozhodčí: Luhan Adam</v>
      </c>
      <c r="B41" s="203"/>
      <c r="C41" s="204"/>
      <c r="D41" s="205" t="s">
        <v>30</v>
      </c>
      <c r="E41" s="206"/>
      <c r="F41" s="207"/>
      <c r="H41" s="202" t="str">
        <f>CONCATENATE("Rozhodčí: ",IFERROR(VLOOKUP('sk A,B - Muži'!$AS$15,seznam!$A$2:$C$25,2),""))</f>
        <v>Rozhodčí: Plotzer Robin</v>
      </c>
      <c r="I41" s="203"/>
      <c r="J41" s="204"/>
      <c r="K41" s="205" t="s">
        <v>30</v>
      </c>
      <c r="L41" s="206"/>
      <c r="M41" s="207"/>
    </row>
    <row r="42" spans="1:13" ht="18" customHeight="1" thickBot="1"/>
    <row r="43" spans="1:13" ht="36" customHeight="1">
      <c r="A43" s="208" t="str">
        <f>'sk A,B - Muži'!$C$1</f>
        <v>Žebříčkový turnaj - U11 M - I.stupeň</v>
      </c>
      <c r="B43" s="209"/>
      <c r="C43" s="209"/>
      <c r="D43" s="209"/>
      <c r="E43" s="209"/>
      <c r="F43" s="210"/>
      <c r="H43" s="208" t="str">
        <f>'sk A,B - Muži'!$C$1</f>
        <v>Žebříčkový turnaj - U11 M - I.stupeň</v>
      </c>
      <c r="I43" s="209"/>
      <c r="J43" s="209"/>
      <c r="K43" s="209"/>
      <c r="L43" s="209"/>
      <c r="M43" s="210"/>
    </row>
    <row r="44" spans="1:13" ht="36" customHeight="1" thickBot="1">
      <c r="A44" s="88" t="str">
        <f>CONCATENATE("Sk: ",MID(INDEX('sk A,B - Muži'!$C$1:'sk A,B - Muži'!$C$17,MOD(TRUNC((COLUMN()-1)/7),2 )*15+2,1),LEN("skupina ")+1,1))</f>
        <v>Sk: A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A,B - Muži'!$AE$1</f>
        <v>45773</v>
      </c>
      <c r="E44" s="93"/>
      <c r="F44" s="89" t="str">
        <f>CONCATENATE("stůl č. ",zápis!I46)</f>
        <v xml:space="preserve">stůl č. </v>
      </c>
      <c r="H44" s="88" t="str">
        <f>CONCATENATE("Sk: ",MID(INDEX('sk A,B - Muži'!$C$1:'sk A,B - Muži'!$C$17,MOD(TRUNC((COLUMN()-1)/7),2 )*15+2,1),LEN("skupina ")+1,1))</f>
        <v>Sk: B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A,B - Muži'!$AE$1</f>
        <v>45773</v>
      </c>
      <c r="L44" s="62"/>
      <c r="M44" s="89" t="str">
        <f>CONCATENATE("stůl č. ",zápis!I49)</f>
        <v xml:space="preserve">stůl č. </v>
      </c>
    </row>
    <row r="45" spans="1:13" ht="36" customHeight="1" thickBot="1">
      <c r="A45" s="211" t="str">
        <f>CONCATENATE(IF(COUNTIF(seznam!$A$2:$A$25, INDEX('sk A,B - Muži'!$AP$1:$AP$37,$C44,1) )=1,VLOOKUP(INDEX('sk A,B - Muži'!$AP$1:$AP$37,$C44,1),seznam!$A$2:$C$25,2,FALSE),"------"),"   (",IF(COUNTIF(seznam!$A$2:$A$25, INDEX('sk A,B - Muži'!$AP$1:$AP$37,$C44,1) )=1,VLOOKUP( INDEX('sk A,B - Muži'!$AP$1:$AP$37,$C44,1),seznam!$A$2:$C$25,3,FALSE),"------"),")")</f>
        <v>Spěvák Šimon   (KST FOSFA LVA)</v>
      </c>
      <c r="B45" s="212"/>
      <c r="C45" s="212"/>
      <c r="D45" s="211" t="str">
        <f>CONCATENATE(IF(COUNTIF(seznam!$A$2:$A$25, INDEX('sk A,B - Muži'!$AQ$1:$AQ$37,$C44,1) )=1,VLOOKUP( INDEX('sk A,B - Muži'!$AQ$1:$AQ$37,$C44,1),seznam!$A$2:$C$25,2,FALSE),"------"),"   (",IF(COUNTIF(seznam!$A$2:$A$25, INDEX('sk A,B - Muži'!$AQ$1:$AQ$37,$C44,1) )=1,VLOOKUP( INDEX('sk A,B - Muži'!$AQ$1:$AQ$37,$C44,1),seznam!$A$2:$C$25,3,FALSE),"------"),")")</f>
        <v>Luhan Adam   (MSK Břeclav)</v>
      </c>
      <c r="E45" s="212"/>
      <c r="F45" s="213"/>
      <c r="H45" s="211" t="str">
        <f>CONCATENATE(IF(COUNTIF(seznam!$A$2:$A$25, INDEX('sk A,B - Muži'!$AP$1:$AP$37,$J44,1) )=1,VLOOKUP(INDEX('sk A,B - Muži'!$AP$1:$AP$37,$J44,1),seznam!$A$2:$C$25,2,FALSE),"------"),"   (",IF(COUNTIF(seznam!$A$2:$A$25, INDEX('sk A,B - Muži'!$AP$1:$AP$37,$J44,1) )=1,VLOOKUP( INDEX('sk A,B - Muži'!$AP$1:$AP$37,$J44,1),seznam!$A$2:$C$25,3,FALSE),"------"),")")</f>
        <v>Ides Samuel Hugo   (Sokol Brno I)</v>
      </c>
      <c r="I45" s="212"/>
      <c r="J45" s="212"/>
      <c r="K45" s="211" t="str">
        <f>CONCATENATE(IF(COUNTIF(seznam!$A$2:$A$25, INDEX('sk A,B - Muži'!$AQ$1:$AQ$37,$J44,1) )=1,VLOOKUP( INDEX('sk A,B - Muži'!$AQ$1:$AQ$37,$J44,1),seznam!$A$2:$C$25,2,FALSE),"------"),"   (",IF(COUNTIF(seznam!$A$2:$A$25, INDEX('sk A,B - Muži'!$AQ$1:$AQ$37,$J44,1) )=1,VLOOKUP( INDEX('sk A,B - Muži'!$AQ$1:$AQ$37,$J44,1),seznam!$A$2:$C$25,3,FALSE),"------"),")")</f>
        <v>Plotzer Robin   (MK Řeznovice)</v>
      </c>
      <c r="L45" s="212"/>
      <c r="M45" s="213"/>
    </row>
    <row r="46" spans="1:13" ht="14.25" customHeight="1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>
      <c r="A48" s="202" t="str">
        <f>CONCATENATE("Rozhodčí: ",IFERROR(VLOOKUP('sk A,B - Muži'!$AS$17,seznam!$A$2:$C$25,2),""))</f>
        <v>Rozhodčí: Tomeček Richard</v>
      </c>
      <c r="B48" s="203"/>
      <c r="C48" s="204"/>
      <c r="D48" s="205" t="s">
        <v>30</v>
      </c>
      <c r="E48" s="206"/>
      <c r="F48" s="207"/>
      <c r="H48" s="202" t="str">
        <f>CONCATENATE("Rozhodčí: ",IFERROR(VLOOKUP('sk A,B - Muži'!$AS$20,seznam!$A$2:$C$25,2),""))</f>
        <v>Rozhodčí: Omelka Marek</v>
      </c>
      <c r="I48" s="203"/>
      <c r="J48" s="204"/>
      <c r="K48" s="205" t="s">
        <v>30</v>
      </c>
      <c r="L48" s="206"/>
      <c r="M48" s="207"/>
    </row>
    <row r="49" spans="1:13" ht="18" customHeight="1" thickBot="1"/>
    <row r="50" spans="1:13" ht="36" customHeight="1">
      <c r="A50" s="208" t="str">
        <f>'sk A,B - Muži'!$C$1</f>
        <v>Žebříčkový turnaj - U11 M - I.stupeň</v>
      </c>
      <c r="B50" s="209"/>
      <c r="C50" s="209"/>
      <c r="D50" s="209"/>
      <c r="E50" s="209"/>
      <c r="F50" s="210"/>
      <c r="H50" s="208" t="str">
        <f>'sk A,B - Muži'!$C$1</f>
        <v>Žebříčkový turnaj - U11 M - I.stupeň</v>
      </c>
      <c r="I50" s="209"/>
      <c r="J50" s="209"/>
      <c r="K50" s="209"/>
      <c r="L50" s="209"/>
      <c r="M50" s="210"/>
    </row>
    <row r="51" spans="1:13" ht="36" customHeight="1" thickBot="1">
      <c r="A51" s="88" t="str">
        <f>CONCATENATE("Sk: ",MID(INDEX('sk A,B - Muži'!$C$1:'sk A,B - Muži'!$C$17,MOD(TRUNC((COLUMN()-1)/7),2 )*15+2,1),LEN("skupina ")+1,1))</f>
        <v>Sk: A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A,B - Muži'!$AE$1</f>
        <v>45773</v>
      </c>
      <c r="E51" s="62"/>
      <c r="F51" s="89" t="str">
        <f>CONCATENATE("stůl č. ",zápis!I47)</f>
        <v xml:space="preserve">stůl č. </v>
      </c>
      <c r="H51" s="88" t="str">
        <f>CONCATENATE("Sk: ",MID(INDEX('sk A,B - Muži'!$C$1:'sk A,B - Muži'!$C$17,MOD(TRUNC((COLUMN()-1)/7),2 )*15+2,1),LEN("skupina ")+1,1))</f>
        <v>Sk: B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A,B - Muži'!$AE$1</f>
        <v>45773</v>
      </c>
      <c r="L51" s="62"/>
      <c r="M51" s="89" t="str">
        <f>CONCATENATE("stůl č. ",zápis!I50)</f>
        <v xml:space="preserve">stůl č. </v>
      </c>
    </row>
    <row r="52" spans="1:13" ht="36" customHeight="1" thickBot="1">
      <c r="A52" s="211" t="str">
        <f>CONCATENATE(IF(COUNTIF(seznam!$A$2:$A$25, INDEX('sk A,B - Muži'!$AP$1:$AP$37,$C51,1) )=1,VLOOKUP(INDEX('sk A,B - Muži'!$AP$1:$AP$37,$C51,1),seznam!$A$2:$C$25,2,FALSE),"------"),"   (",IF(COUNTIF(seznam!$A$2:$A$25, INDEX('sk A,B - Muži'!$AP$1:$AP$37,$C51,1) )=1,VLOOKUP( INDEX('sk A,B - Muži'!$AP$1:$AP$37,$C51,1),seznam!$A$2:$C$25,3,FALSE),"------"),")")</f>
        <v>Látal Jan   (Jiskra Strážnice)</v>
      </c>
      <c r="B52" s="212"/>
      <c r="C52" s="212"/>
      <c r="D52" s="211" t="str">
        <f>CONCATENATE(IF(COUNTIF(seznam!$A$2:$A$25, INDEX('sk A,B - Muži'!$AQ$1:$AQ$37,$C51,1) )=1,VLOOKUP( INDEX('sk A,B - Muži'!$AQ$1:$AQ$37,$C51,1),seznam!$A$2:$C$25,2,FALSE),"------"),"   (",IF(COUNTIF(seznam!$A$2:$A$25, INDEX('sk A,B - Muži'!$AQ$1:$AQ$37,$C51,1) )=1,VLOOKUP( INDEX('sk A,B - Muži'!$AQ$1:$AQ$37,$C51,1),seznam!$A$2:$C$25,3,FALSE),"------"),")")</f>
        <v>Voráč Pavel   (KST Blansko)</v>
      </c>
      <c r="E52" s="212"/>
      <c r="F52" s="213"/>
      <c r="H52" s="211" t="str">
        <f>CONCATENATE(IF(COUNTIF(seznam!$A$2:$A$25, INDEX('sk A,B - Muži'!$AP$1:$AP$37,$J51,1) )=1,VLOOKUP(INDEX('sk A,B - Muži'!$AP$1:$AP$37,$J51,1),seznam!$A$2:$C$25,2,FALSE),"------"),"   (",IF(COUNTIF(seznam!$A$2:$A$25, INDEX('sk A,B - Muži'!$AP$1:$AP$37,$J51,1) )=1,VLOOKUP( INDEX('sk A,B - Muži'!$AP$1:$AP$37,$J51,1),seznam!$A$2:$C$25,3,FALSE),"------"),")")</f>
        <v>Pantlík Daniel   (MK Řeznovice)</v>
      </c>
      <c r="I52" s="212"/>
      <c r="J52" s="212"/>
      <c r="K52" s="211" t="str">
        <f>CONCATENATE(IF(COUNTIF(seznam!$A$2:$A$25, INDEX('sk A,B - Muži'!$AQ$1:$AQ$37,$J51,1) )=1,VLOOKUP( INDEX('sk A,B - Muži'!$AQ$1:$AQ$37,$J51,1),seznam!$A$2:$C$25,2,FALSE),"------"),"   (",IF(COUNTIF(seznam!$A$2:$A$25, INDEX('sk A,B - Muži'!$AQ$1:$AQ$37,$J51,1) )=1,VLOOKUP( INDEX('sk A,B - Muži'!$AQ$1:$AQ$37,$J51,1),seznam!$A$2:$C$25,3,FALSE),"------"),")")</f>
        <v>Peťura Patrik   (Jiskra Strážnice)</v>
      </c>
      <c r="L52" s="212"/>
      <c r="M52" s="213"/>
    </row>
    <row r="53" spans="1:13" ht="14.25" customHeight="1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>
      <c r="A55" s="202" t="str">
        <f>CONCATENATE("Rozhodčí: ",IFERROR(VLOOKUP('sk A,B - Muži'!$AS$18,seznam!$A$2:$C$25,2),""))</f>
        <v>Rozhodčí: Šimon Samuel</v>
      </c>
      <c r="B55" s="203"/>
      <c r="C55" s="204"/>
      <c r="D55" s="205" t="s">
        <v>30</v>
      </c>
      <c r="E55" s="206"/>
      <c r="F55" s="207"/>
      <c r="H55" s="202" t="str">
        <f>CONCATENATE("Rozhodčí: ",IFERROR(VLOOKUP('sk A,B - Muži'!$AS$21,seznam!$A$2:$C$25,2),""))</f>
        <v>Rozhodčí: Kmenta Josef</v>
      </c>
      <c r="I55" s="203"/>
      <c r="J55" s="204"/>
      <c r="K55" s="205" t="s">
        <v>30</v>
      </c>
      <c r="L55" s="206"/>
      <c r="M55" s="207"/>
    </row>
    <row r="56" spans="1:13" ht="18" customHeight="1" thickBot="1"/>
    <row r="57" spans="1:13" ht="36" customHeight="1">
      <c r="A57" s="208" t="str">
        <f>'sk A,B - Muži'!$C$1</f>
        <v>Žebříčkový turnaj - U11 M - I.stupeň</v>
      </c>
      <c r="B57" s="209"/>
      <c r="C57" s="209"/>
      <c r="D57" s="209"/>
      <c r="E57" s="209"/>
      <c r="F57" s="210"/>
      <c r="H57" s="208" t="str">
        <f>'sk A,B - Muži'!$C$1</f>
        <v>Žebříčkový turnaj - U11 M - I.stupeň</v>
      </c>
      <c r="I57" s="209"/>
      <c r="J57" s="209"/>
      <c r="K57" s="209"/>
      <c r="L57" s="209"/>
      <c r="M57" s="210"/>
    </row>
    <row r="58" spans="1:13" ht="36" customHeight="1" thickBot="1">
      <c r="A58" s="88" t="str">
        <f>CONCATENATE("Sk: ",MID(INDEX('sk A,B - Muži'!$C$1:'sk A,B - Muži'!$C$17,MOD(TRUNC((COLUMN()-1)/7),2 )*15+2,1),LEN("skupina ")+1,1))</f>
        <v>Sk: A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A,B - Muži'!$AE$1</f>
        <v>45773</v>
      </c>
      <c r="E58" s="62"/>
      <c r="F58" s="89" t="str">
        <f>CONCATENATE("stůl č. ",zápis!I48)</f>
        <v xml:space="preserve">stůl č. </v>
      </c>
      <c r="H58" s="88" t="str">
        <f>CONCATENATE("Sk: ",MID(INDEX('sk A,B - Muži'!$C$1:'sk A,B - Muži'!$C$17,MOD(TRUNC((COLUMN()-1)/7),2 )*15+2,1),LEN("skupina ")+1,1))</f>
        <v>Sk: B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A,B - Muži'!$AE$1</f>
        <v>45773</v>
      </c>
      <c r="L58" s="62"/>
      <c r="M58" s="89" t="str">
        <f>CONCATENATE("stůl č. ",zápis!I51)</f>
        <v xml:space="preserve">stůl č. </v>
      </c>
    </row>
    <row r="59" spans="1:13" ht="36" customHeight="1" thickBot="1">
      <c r="A59" s="211" t="str">
        <f>CONCATENATE(IF(COUNTIF(seznam!$A$2:$A$25, INDEX('sk A,B - Muži'!$AP$1:$AP$37,$C58,1) )=1,VLOOKUP(INDEX('sk A,B - Muži'!$AP$1:$AP$37,$C58,1),seznam!$A$2:$C$25,2,FALSE),"------"),"   (",IF(COUNTIF(seznam!$A$2:$A$25, INDEX('sk A,B - Muži'!$AP$1:$AP$37,$C58,1) )=1,VLOOKUP( INDEX('sk A,B - Muži'!$AP$1:$AP$37,$C58,1),seznam!$A$2:$C$25,3,FALSE),"------"),")")</f>
        <v>Tomeček Richard   (Jiskra Strážnice)</v>
      </c>
      <c r="B59" s="212"/>
      <c r="C59" s="212"/>
      <c r="D59" s="211" t="str">
        <f>CONCATENATE(IF(COUNTIF(seznam!$A$2:$A$25, INDEX('sk A,B - Muži'!$AQ$1:$AQ$37,$C58,1) )=1,VLOOKUP( INDEX('sk A,B - Muži'!$AQ$1:$AQ$37,$C58,1),seznam!$A$2:$C$25,2,FALSE),"------"),"   (",IF(COUNTIF(seznam!$A$2:$A$25, INDEX('sk A,B - Muži'!$AQ$1:$AQ$37,$C58,1) )=1,VLOOKUP( INDEX('sk A,B - Muži'!$AQ$1:$AQ$37,$C58,1),seznam!$A$2:$C$25,3,FALSE),"------"),")")</f>
        <v>Šimon Samuel   (KST FOSFA LVA)</v>
      </c>
      <c r="E59" s="212"/>
      <c r="F59" s="213"/>
      <c r="H59" s="211" t="str">
        <f>CONCATENATE(IF(COUNTIF(seznam!$A$2:$A$25, INDEX('sk A,B - Muži'!$AP$1:$AP$37,$J58,1) )=1,VLOOKUP(INDEX('sk A,B - Muži'!$AP$1:$AP$37,$J58,1),seznam!$A$2:$C$25,2,FALSE),"------"),"   (",IF(COUNTIF(seznam!$A$2:$A$25, INDEX('sk A,B - Muži'!$AP$1:$AP$37,$J58,1) )=1,VLOOKUP( INDEX('sk A,B - Muži'!$AP$1:$AP$37,$J58,1),seznam!$A$2:$C$25,3,FALSE),"------"),")")</f>
        <v>Omelka Marek   (KST FOSFA LVA)</v>
      </c>
      <c r="I59" s="212"/>
      <c r="J59" s="212"/>
      <c r="K59" s="211" t="str">
        <f>CONCATENATE(IF(COUNTIF(seznam!$A$2:$A$25, INDEX('sk A,B - Muži'!$AQ$1:$AQ$37,$J58,1) )=1,VLOOKUP( INDEX('sk A,B - Muži'!$AQ$1:$AQ$37,$J58,1),seznam!$A$2:$C$25,2,FALSE),"------"),"   (",IF(COUNTIF(seznam!$A$2:$A$25, INDEX('sk A,B - Muži'!$AQ$1:$AQ$37,$J58,1) )=1,VLOOKUP( INDEX('sk A,B - Muži'!$AQ$1:$AQ$37,$J58,1),seznam!$A$2:$C$25,3,FALSE),"------"),")")</f>
        <v>Kmenta Josef   (SKST Hodonín)</v>
      </c>
      <c r="L59" s="212"/>
      <c r="M59" s="213"/>
    </row>
    <row r="60" spans="1:13" ht="14.25" customHeight="1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>
      <c r="A62" s="202" t="str">
        <f>CONCATENATE("Rozhodčí: ",IFERROR(VLOOKUP('sk A,B - Muži'!$AS$19,seznam!$A$2:$C$25,2),""))</f>
        <v>Rozhodčí: Spěvák Šimon</v>
      </c>
      <c r="B62" s="203"/>
      <c r="C62" s="204"/>
      <c r="D62" s="205" t="s">
        <v>30</v>
      </c>
      <c r="E62" s="206"/>
      <c r="F62" s="207"/>
      <c r="H62" s="202" t="str">
        <f>CONCATENATE("Rozhodčí: ",IFERROR(VLOOKUP('sk A,B - Muži'!$AS$22,seznam!$A$2:$C$25,2),""))</f>
        <v>Rozhodčí: Ides Samuel Hugo</v>
      </c>
      <c r="I62" s="203"/>
      <c r="J62" s="204"/>
      <c r="K62" s="205" t="s">
        <v>30</v>
      </c>
      <c r="L62" s="206"/>
      <c r="M62" s="207"/>
    </row>
    <row r="63" spans="1:13" ht="18" customHeight="1" thickBot="1"/>
    <row r="64" spans="1:13" ht="36" customHeight="1">
      <c r="A64" s="208" t="str">
        <f>'sk A,B - Muži'!$C$1</f>
        <v>Žebříčkový turnaj - U11 M - I.stupeň</v>
      </c>
      <c r="B64" s="209"/>
      <c r="C64" s="209"/>
      <c r="D64" s="209"/>
      <c r="E64" s="209"/>
      <c r="F64" s="210"/>
      <c r="H64" s="208" t="str">
        <f>'sk A,B - Muži'!$C$1</f>
        <v>Žebříčkový turnaj - U11 M - I.stupeň</v>
      </c>
      <c r="I64" s="209"/>
      <c r="J64" s="209"/>
      <c r="K64" s="209"/>
      <c r="L64" s="209"/>
      <c r="M64" s="210"/>
    </row>
    <row r="65" spans="1:13" ht="36" customHeight="1" thickBot="1">
      <c r="A65" s="88" t="str">
        <f>CONCATENATE("Sk: ",MID(INDEX('sk A,B - Muži'!$C$1:'sk A,B - Muži'!$C$17,MOD(TRUNC((COLUMN()-1)/7),2 )*15+2,1),LEN("skupina ")+1,1))</f>
        <v>Sk: A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A,B - Muži'!$AE$1</f>
        <v>45773</v>
      </c>
      <c r="E65" s="93"/>
      <c r="F65" s="89" t="str">
        <f>CONCATENATE("stůl č. ",zápis!I67)</f>
        <v xml:space="preserve">stůl č. </v>
      </c>
      <c r="H65" s="88" t="str">
        <f>CONCATENATE("Sk: ",MID(INDEX('sk A,B - Muži'!$C$1:'sk A,B - Muži'!$C$17,MOD(TRUNC((COLUMN()-1)/7),2 )*15+2,1),LEN("skupina ")+1,1))</f>
        <v>Sk: B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A,B - Muži'!$AE$1</f>
        <v>45773</v>
      </c>
      <c r="L65" s="62"/>
      <c r="M65" s="89" t="str">
        <f>CONCATENATE("stůl č. ",zápis!I70)</f>
        <v xml:space="preserve">stůl č. </v>
      </c>
    </row>
    <row r="66" spans="1:13" ht="36" customHeight="1" thickBot="1">
      <c r="A66" s="211" t="str">
        <f>CONCATENATE(IF(COUNTIF(seznam!$A$2:$A$25, INDEX('sk A,B - Muži'!$AP$1:$AP$37,$C65,1) )=1,VLOOKUP(INDEX('sk A,B - Muži'!$AP$1:$AP$37,$C65,1),seznam!$A$2:$C$25,2,FALSE),"------"),"   (",IF(COUNTIF(seznam!$A$2:$A$25, INDEX('sk A,B - Muži'!$AP$1:$AP$37,$C65,1) )=1,VLOOKUP( INDEX('sk A,B - Muži'!$AP$1:$AP$37,$C65,1),seznam!$A$2:$C$25,3,FALSE),"------"),")")</f>
        <v>Luhan Adam   (MSK Břeclav)</v>
      </c>
      <c r="B66" s="212"/>
      <c r="C66" s="212"/>
      <c r="D66" s="211" t="str">
        <f>CONCATENATE(IF(COUNTIF(seznam!$A$2:$A$25, INDEX('sk A,B - Muži'!$AQ$1:$AQ$37,$C65,1) )=1,VLOOKUP( INDEX('sk A,B - Muži'!$AQ$1:$AQ$37,$C65,1),seznam!$A$2:$C$25,2,FALSE),"------"),"   (",IF(COUNTIF(seznam!$A$2:$A$25, INDEX('sk A,B - Muži'!$AQ$1:$AQ$37,$C65,1) )=1,VLOOKUP( INDEX('sk A,B - Muži'!$AQ$1:$AQ$37,$C65,1),seznam!$A$2:$C$25,3,FALSE),"------"),")")</f>
        <v>Šimon Samuel   (KST FOSFA LVA)</v>
      </c>
      <c r="E66" s="212"/>
      <c r="F66" s="213"/>
      <c r="H66" s="211" t="str">
        <f>CONCATENATE(IF(COUNTIF(seznam!$A$2:$A$25, INDEX('sk A,B - Muži'!$AP$1:$AP$37,$J65,1) )=1,VLOOKUP(INDEX('sk A,B - Muži'!$AP$1:$AP$37,$J65,1),seznam!$A$2:$C$25,2,FALSE),"------"),"   (",IF(COUNTIF(seznam!$A$2:$A$25, INDEX('sk A,B - Muži'!$AP$1:$AP$37,$J65,1) )=1,VLOOKUP( INDEX('sk A,B - Muži'!$AP$1:$AP$37,$J65,1),seznam!$A$2:$C$25,3,FALSE),"------"),")")</f>
        <v>Plotzer Robin   (MK Řeznovice)</v>
      </c>
      <c r="I66" s="212"/>
      <c r="J66" s="212"/>
      <c r="K66" s="211" t="str">
        <f>CONCATENATE(IF(COUNTIF(seznam!$A$2:$A$25, INDEX('sk A,B - Muži'!$AQ$1:$AQ$37,$J65,1) )=1,VLOOKUP( INDEX('sk A,B - Muži'!$AQ$1:$AQ$37,$J65,1),seznam!$A$2:$C$25,2,FALSE),"------"),"   (",IF(COUNTIF(seznam!$A$2:$A$25, INDEX('sk A,B - Muži'!$AQ$1:$AQ$37,$J65,1) )=1,VLOOKUP( INDEX('sk A,B - Muži'!$AQ$1:$AQ$37,$J65,1),seznam!$A$2:$C$25,3,FALSE),"------"),")")</f>
        <v>Kmenta Josef   (SKST Hodonín)</v>
      </c>
      <c r="L66" s="212"/>
      <c r="M66" s="213"/>
    </row>
    <row r="67" spans="1:13" ht="14.25" customHeight="1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>
      <c r="A69" s="202" t="str">
        <f>CONCATENATE("Rozhodčí: ",IFERROR(VLOOKUP('sk A,B - Muži'!$AS$24,seznam!$A$2:$C$25,2),""))</f>
        <v>Rozhodčí: Látal Jan</v>
      </c>
      <c r="B69" s="203"/>
      <c r="C69" s="204"/>
      <c r="D69" s="205" t="s">
        <v>30</v>
      </c>
      <c r="E69" s="206"/>
      <c r="F69" s="207"/>
      <c r="H69" s="202" t="str">
        <f>CONCATENATE("Rozhodčí: ",IFERROR(VLOOKUP('sk A,B - Muži'!$AS$27,seznam!$A$2:$C$25,2),""))</f>
        <v>Rozhodčí: Pantlík Daniel</v>
      </c>
      <c r="I69" s="203"/>
      <c r="J69" s="204"/>
      <c r="K69" s="205" t="s">
        <v>30</v>
      </c>
      <c r="L69" s="206"/>
      <c r="M69" s="207"/>
    </row>
    <row r="70" spans="1:13" ht="18" customHeight="1" thickBot="1"/>
    <row r="71" spans="1:13" ht="36" customHeight="1">
      <c r="A71" s="208" t="str">
        <f>'sk A,B - Muži'!$C$1</f>
        <v>Žebříčkový turnaj - U11 M - I.stupeň</v>
      </c>
      <c r="B71" s="209"/>
      <c r="C71" s="209"/>
      <c r="D71" s="209"/>
      <c r="E71" s="209"/>
      <c r="F71" s="210"/>
      <c r="H71" s="208" t="str">
        <f>'sk A,B - Muži'!$C$1</f>
        <v>Žebříčkový turnaj - U11 M - I.stupeň</v>
      </c>
      <c r="I71" s="209"/>
      <c r="J71" s="209"/>
      <c r="K71" s="209"/>
      <c r="L71" s="209"/>
      <c r="M71" s="210"/>
    </row>
    <row r="72" spans="1:13" ht="36" customHeight="1" thickBot="1">
      <c r="A72" s="88" t="str">
        <f>CONCATENATE("Sk: ",MID(INDEX('sk A,B - Muži'!$C$1:'sk A,B - Muži'!$C$17,MOD(TRUNC((COLUMN()-1)/7),2 )*15+2,1),LEN("skupina ")+1,1))</f>
        <v>Sk: A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A,B - Muži'!$AE$1</f>
        <v>45773</v>
      </c>
      <c r="E72" s="62"/>
      <c r="F72" s="89" t="str">
        <f>CONCATENATE("stůl č. ",zápis!I68)</f>
        <v xml:space="preserve">stůl č. </v>
      </c>
      <c r="H72" s="88" t="str">
        <f>CONCATENATE("Sk: ",MID(INDEX('sk A,B - Muži'!$C$1:'sk A,B - Muži'!$C$17,MOD(TRUNC((COLUMN()-1)/7),2 )*15+2,1),LEN("skupina ")+1,1))</f>
        <v>Sk: B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A,B - Muži'!$AE$1</f>
        <v>45773</v>
      </c>
      <c r="L72" s="62"/>
      <c r="M72" s="89" t="str">
        <f>CONCATENATE("stůl č. ",zápis!I71)</f>
        <v xml:space="preserve">stůl č. </v>
      </c>
    </row>
    <row r="73" spans="1:13" ht="36" customHeight="1" thickBot="1">
      <c r="A73" s="211" t="str">
        <f>CONCATENATE(IF(COUNTIF(seznam!$A$2:$A$25, INDEX('sk A,B - Muži'!$AP$1:$AP$37,$C72,1) )=1,VLOOKUP(INDEX('sk A,B - Muži'!$AP$1:$AP$37,$C72,1),seznam!$A$2:$C$25,2,FALSE),"------"),"   (",IF(COUNTIF(seznam!$A$2:$A$25, INDEX('sk A,B - Muži'!$AP$1:$AP$37,$C72,1) )=1,VLOOKUP( INDEX('sk A,B - Muži'!$AP$1:$AP$37,$C72,1),seznam!$A$2:$C$25,3,FALSE),"------"),")")</f>
        <v>Voráč Pavel   (KST Blansko)</v>
      </c>
      <c r="B73" s="212"/>
      <c r="C73" s="212"/>
      <c r="D73" s="211" t="str">
        <f>CONCATENATE(IF(COUNTIF(seznam!$A$2:$A$25, INDEX('sk A,B - Muži'!$AQ$1:$AQ$37,$C72,1) )=1,VLOOKUP( INDEX('sk A,B - Muži'!$AQ$1:$AQ$37,$C72,1),seznam!$A$2:$C$25,2,FALSE),"------"),"   (",IF(COUNTIF(seznam!$A$2:$A$25, INDEX('sk A,B - Muži'!$AQ$1:$AQ$37,$C72,1) )=1,VLOOKUP( INDEX('sk A,B - Muži'!$AQ$1:$AQ$37,$C72,1),seznam!$A$2:$C$25,3,FALSE),"------"),")")</f>
        <v>Tomeček Richard   (Jiskra Strážnice)</v>
      </c>
      <c r="E73" s="212"/>
      <c r="F73" s="213"/>
      <c r="H73" s="211" t="str">
        <f>CONCATENATE(IF(COUNTIF(seznam!$A$2:$A$25, INDEX('sk A,B - Muži'!$AP$1:$AP$37,$J72,1) )=1,VLOOKUP(INDEX('sk A,B - Muži'!$AP$1:$AP$37,$J72,1),seznam!$A$2:$C$25,2,FALSE),"------"),"   (",IF(COUNTIF(seznam!$A$2:$A$25, INDEX('sk A,B - Muži'!$AP$1:$AP$37,$J72,1) )=1,VLOOKUP( INDEX('sk A,B - Muži'!$AP$1:$AP$37,$J72,1),seznam!$A$2:$C$25,3,FALSE),"------"),")")</f>
        <v>Peťura Patrik   (Jiskra Strážnice)</v>
      </c>
      <c r="I73" s="212"/>
      <c r="J73" s="212"/>
      <c r="K73" s="211" t="str">
        <f>CONCATENATE(IF(COUNTIF(seznam!$A$2:$A$25, INDEX('sk A,B - Muži'!$AQ$1:$AQ$37,$J72,1) )=1,VLOOKUP( INDEX('sk A,B - Muži'!$AQ$1:$AQ$37,$J72,1),seznam!$A$2:$C$25,2,FALSE),"------"),"   (",IF(COUNTIF(seznam!$A$2:$A$25, INDEX('sk A,B - Muži'!$AQ$1:$AQ$37,$J72,1) )=1,VLOOKUP( INDEX('sk A,B - Muži'!$AQ$1:$AQ$37,$J72,1),seznam!$A$2:$C$25,3,FALSE),"------"),")")</f>
        <v>Omelka Marek   (KST FOSFA LVA)</v>
      </c>
      <c r="L73" s="212"/>
      <c r="M73" s="213"/>
    </row>
    <row r="74" spans="1:13" ht="14.25" customHeight="1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>
      <c r="A76" s="202" t="str">
        <f>CONCATENATE("Rozhodčí: ",IFERROR(VLOOKUP('sk A,B - Muži'!$AS$25,seznam!$A$2:$C$25,2),""))</f>
        <v>Rozhodčí: Luhan Adam</v>
      </c>
      <c r="B76" s="203"/>
      <c r="C76" s="204"/>
      <c r="D76" s="205" t="s">
        <v>30</v>
      </c>
      <c r="E76" s="206"/>
      <c r="F76" s="207"/>
      <c r="H76" s="202" t="str">
        <f>CONCATENATE("Rozhodčí: ",IFERROR(VLOOKUP('sk A,B - Muži'!$AS$28,seznam!$A$2:$C$25,2),""))</f>
        <v>Rozhodčí: Plotzer Robin</v>
      </c>
      <c r="I76" s="203"/>
      <c r="J76" s="204"/>
      <c r="K76" s="205" t="s">
        <v>30</v>
      </c>
      <c r="L76" s="206"/>
      <c r="M76" s="207"/>
    </row>
    <row r="77" spans="1:13" ht="18" customHeight="1" thickBot="1"/>
    <row r="78" spans="1:13" ht="36" customHeight="1">
      <c r="A78" s="208" t="str">
        <f>'sk A,B - Muži'!$C$1</f>
        <v>Žebříčkový turnaj - U11 M - I.stupeň</v>
      </c>
      <c r="B78" s="209"/>
      <c r="C78" s="209"/>
      <c r="D78" s="209"/>
      <c r="E78" s="209"/>
      <c r="F78" s="210"/>
      <c r="H78" s="208" t="str">
        <f>'sk A,B - Muži'!$C$1</f>
        <v>Žebříčkový turnaj - U11 M - I.stupeň</v>
      </c>
      <c r="I78" s="209"/>
      <c r="J78" s="209"/>
      <c r="K78" s="209"/>
      <c r="L78" s="209"/>
      <c r="M78" s="210"/>
    </row>
    <row r="79" spans="1:13" ht="36" customHeight="1" thickBot="1">
      <c r="A79" s="88" t="str">
        <f>CONCATENATE("Sk: ",MID(INDEX('sk A,B - Muži'!$C$1:'sk A,B - Muži'!$C$17,MOD(TRUNC((COLUMN()-1)/7),2 )*15+2,1),LEN("skupina ")+1,1))</f>
        <v>Sk: A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A,B - Muži'!$AE$1</f>
        <v>45773</v>
      </c>
      <c r="E79" s="62"/>
      <c r="F79" s="89" t="str">
        <f>CONCATENATE("stůl č. ",zápis!I69)</f>
        <v xml:space="preserve">stůl č. </v>
      </c>
      <c r="H79" s="88" t="str">
        <f>CONCATENATE("Sk: ",MID(INDEX('sk A,B - Muži'!$C$1:'sk A,B - Muži'!$C$17,MOD(TRUNC((COLUMN()-1)/7),2 )*15+2,1),LEN("skupina ")+1,1))</f>
        <v>Sk: B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A,B - Muži'!$AE$1</f>
        <v>45773</v>
      </c>
      <c r="L79" s="62"/>
      <c r="M79" s="89" t="str">
        <f>CONCATENATE("stůl č. ",zápis!I72)</f>
        <v xml:space="preserve">stůl č. </v>
      </c>
    </row>
    <row r="80" spans="1:13" ht="36" customHeight="1" thickBot="1">
      <c r="A80" s="211" t="str">
        <f>CONCATENATE(IF(COUNTIF(seznam!$A$2:$A$25, INDEX('sk A,B - Muži'!$AP$1:$AP$37,$C79,1) )=1,VLOOKUP(INDEX('sk A,B - Muži'!$AP$1:$AP$37,$C79,1),seznam!$A$2:$C$25,2,FALSE),"------"),"   (",IF(COUNTIF(seznam!$A$2:$A$25, INDEX('sk A,B - Muži'!$AP$1:$AP$37,$C79,1) )=1,VLOOKUP( INDEX('sk A,B - Muži'!$AP$1:$AP$37,$C79,1),seznam!$A$2:$C$25,3,FALSE),"------"),")")</f>
        <v>Spěvák Šimon   (KST FOSFA LVA)</v>
      </c>
      <c r="B80" s="212"/>
      <c r="C80" s="212"/>
      <c r="D80" s="211" t="str">
        <f>CONCATENATE(IF(COUNTIF(seznam!$A$2:$A$25, INDEX('sk A,B - Muži'!$AQ$1:$AQ$37,$C79,1) )=1,VLOOKUP( INDEX('sk A,B - Muži'!$AQ$1:$AQ$37,$C79,1),seznam!$A$2:$C$25,2,FALSE),"------"),"   (",IF(COUNTIF(seznam!$A$2:$A$25, INDEX('sk A,B - Muži'!$AQ$1:$AQ$37,$C79,1) )=1,VLOOKUP( INDEX('sk A,B - Muži'!$AQ$1:$AQ$37,$C79,1),seznam!$A$2:$C$25,3,FALSE),"------"),")")</f>
        <v>Látal Jan   (Jiskra Strážnice)</v>
      </c>
      <c r="E80" s="212"/>
      <c r="F80" s="213"/>
      <c r="H80" s="211" t="str">
        <f>CONCATENATE(IF(COUNTIF(seznam!$A$2:$A$25, INDEX('sk A,B - Muži'!$AP$1:$AP$37,$J79,1) )=1,VLOOKUP(INDEX('sk A,B - Muži'!$AP$1:$AP$37,$J79,1),seznam!$A$2:$C$25,2,FALSE),"------"),"   (",IF(COUNTIF(seznam!$A$2:$A$25, INDEX('sk A,B - Muži'!$AP$1:$AP$37,$J79,1) )=1,VLOOKUP( INDEX('sk A,B - Muži'!$AP$1:$AP$37,$J79,1),seznam!$A$2:$C$25,3,FALSE),"------"),")")</f>
        <v>Ides Samuel Hugo   (Sokol Brno I)</v>
      </c>
      <c r="I80" s="212"/>
      <c r="J80" s="212"/>
      <c r="K80" s="211" t="str">
        <f>CONCATENATE(IF(COUNTIF(seznam!$A$2:$A$25, INDEX('sk A,B - Muži'!$AQ$1:$AQ$37,$J79,1) )=1,VLOOKUP( INDEX('sk A,B - Muži'!$AQ$1:$AQ$37,$J79,1),seznam!$A$2:$C$25,2,FALSE),"------"),"   (",IF(COUNTIF(seznam!$A$2:$A$25, INDEX('sk A,B - Muži'!$AQ$1:$AQ$37,$J79,1) )=1,VLOOKUP( INDEX('sk A,B - Muži'!$AQ$1:$AQ$37,$J79,1),seznam!$A$2:$C$25,3,FALSE),"------"),")")</f>
        <v>Pantlík Daniel   (MK Řeznovice)</v>
      </c>
      <c r="L80" s="212"/>
      <c r="M80" s="213"/>
    </row>
    <row r="81" spans="1:13" ht="14.25" customHeight="1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>
      <c r="A83" s="202" t="str">
        <f>CONCATENATE("Rozhodčí: ",IFERROR(VLOOKUP('sk A,B - Muži'!$AS$26,seznam!$A$2:$C$25,2),""))</f>
        <v>Rozhodčí: Voráč Pavel</v>
      </c>
      <c r="B83" s="203"/>
      <c r="C83" s="204"/>
      <c r="D83" s="205" t="s">
        <v>30</v>
      </c>
      <c r="E83" s="206"/>
      <c r="F83" s="207"/>
      <c r="H83" s="202" t="str">
        <f>CONCATENATE("Rozhodčí: ",IFERROR(VLOOKUP('sk A,B - Muži'!$AS$29,seznam!$A$2:$C$25,2),""))</f>
        <v>Rozhodčí: Peťura Patrik</v>
      </c>
      <c r="I83" s="203"/>
      <c r="J83" s="204"/>
      <c r="K83" s="205" t="s">
        <v>30</v>
      </c>
      <c r="L83" s="206"/>
      <c r="M83" s="207"/>
    </row>
    <row r="84" spans="1:13" ht="18" customHeight="1" thickBot="1"/>
    <row r="85" spans="1:13" ht="36" customHeight="1">
      <c r="A85" s="208" t="str">
        <f>'sk A,B - Muži'!$C$1</f>
        <v>Žebříčkový turnaj - U11 M - I.stupeň</v>
      </c>
      <c r="B85" s="209"/>
      <c r="C85" s="209"/>
      <c r="D85" s="209"/>
      <c r="E85" s="209"/>
      <c r="F85" s="210"/>
      <c r="H85" s="208" t="str">
        <f>'sk A,B - Muži'!$C$1</f>
        <v>Žebříčkový turnaj - U11 M - I.stupeň</v>
      </c>
      <c r="I85" s="209"/>
      <c r="J85" s="209"/>
      <c r="K85" s="209"/>
      <c r="L85" s="209"/>
      <c r="M85" s="210"/>
    </row>
    <row r="86" spans="1:13" ht="36" customHeight="1" thickBot="1">
      <c r="A86" s="88" t="str">
        <f>CONCATENATE("Sk: ",MID(INDEX('sk A,B - Muži'!$C$1:'sk A,B - Muži'!$C$17,MOD(TRUNC((COLUMN()-1)/7),2 )*15+2,1),LEN("skupina ")+1,1))</f>
        <v>Sk: A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A,B - Muži'!$AE$1</f>
        <v>45773</v>
      </c>
      <c r="E86" s="93"/>
      <c r="F86" s="89" t="str">
        <f>CONCATENATE("stůl č. ",zápis!I87)</f>
        <v xml:space="preserve">stůl č. </v>
      </c>
      <c r="H86" s="88" t="str">
        <f>CONCATENATE("Sk: ",MID(INDEX('sk A,B - Muži'!$C$1:'sk A,B - Muži'!$C$17,MOD(TRUNC((COLUMN()-1)/7),2 )*15+2,1),LEN("skupina ")+1,1))</f>
        <v>Sk: B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A,B - Muži'!$AE$1</f>
        <v>45773</v>
      </c>
      <c r="L86" s="62"/>
      <c r="M86" s="89" t="str">
        <f>CONCATENATE("stůl č. ",zápis!I90)</f>
        <v xml:space="preserve">stůl č. </v>
      </c>
    </row>
    <row r="87" spans="1:13" ht="36" customHeight="1" thickBot="1">
      <c r="A87" s="211" t="str">
        <f>CONCATENATE(IF(COUNTIF(seznam!$A$2:$A$25, INDEX('sk A,B - Muži'!$AP$1:$AP$37,$C86,1) )=1,VLOOKUP(INDEX('sk A,B - Muži'!$AP$1:$AP$37,$C86,1),seznam!$A$2:$C$25,2,FALSE),"------"),"   (",IF(COUNTIF(seznam!$A$2:$A$25, INDEX('sk A,B - Muži'!$AP$1:$AP$37,$C86,1) )=1,VLOOKUP( INDEX('sk A,B - Muži'!$AP$1:$AP$37,$C86,1),seznam!$A$2:$C$25,3,FALSE),"------"),")")</f>
        <v>Látal Jan   (Jiskra Strážnice)</v>
      </c>
      <c r="B87" s="212"/>
      <c r="C87" s="212"/>
      <c r="D87" s="211" t="str">
        <f>CONCATENATE(IF(COUNTIF(seznam!$A$2:$A$25, INDEX('sk A,B - Muži'!$AQ$1:$AQ$37,$C86,1) )=1,VLOOKUP( INDEX('sk A,B - Muži'!$AQ$1:$AQ$37,$C86,1),seznam!$A$2:$C$25,2,FALSE),"------"),"   (",IF(COUNTIF(seznam!$A$2:$A$25, INDEX('sk A,B - Muži'!$AQ$1:$AQ$37,$C86,1) )=1,VLOOKUP( INDEX('sk A,B - Muži'!$AQ$1:$AQ$37,$C86,1),seznam!$A$2:$C$25,3,FALSE),"------"),")")</f>
        <v>Luhan Adam   (MSK Břeclav)</v>
      </c>
      <c r="E87" s="212"/>
      <c r="F87" s="213"/>
      <c r="H87" s="211" t="str">
        <f>CONCATENATE(IF(COUNTIF(seznam!$A$2:$A$25, INDEX('sk A,B - Muži'!$AP$1:$AP$37,$J86,1) )=1,VLOOKUP(INDEX('sk A,B - Muži'!$AP$1:$AP$37,$J86,1),seznam!$A$2:$C$25,2,FALSE),"------"),"   (",IF(COUNTIF(seznam!$A$2:$A$25, INDEX('sk A,B - Muži'!$AP$1:$AP$37,$J86,1) )=1,VLOOKUP( INDEX('sk A,B - Muži'!$AP$1:$AP$37,$J86,1),seznam!$A$2:$C$25,3,FALSE),"------"),")")</f>
        <v>Pantlík Daniel   (MK Řeznovice)</v>
      </c>
      <c r="I87" s="212"/>
      <c r="J87" s="212"/>
      <c r="K87" s="211" t="str">
        <f>CONCATENATE(IF(COUNTIF(seznam!$A$2:$A$25, INDEX('sk A,B - Muži'!$AQ$1:$AQ$37,$J86,1) )=1,VLOOKUP( INDEX('sk A,B - Muži'!$AQ$1:$AQ$37,$J86,1),seznam!$A$2:$C$25,2,FALSE),"------"),"   (",IF(COUNTIF(seznam!$A$2:$A$25, INDEX('sk A,B - Muži'!$AQ$1:$AQ$37,$J86,1) )=1,VLOOKUP( INDEX('sk A,B - Muži'!$AQ$1:$AQ$37,$J86,1),seznam!$A$2:$C$25,3,FALSE),"------"),")")</f>
        <v>Plotzer Robin   (MK Řeznovice)</v>
      </c>
      <c r="L87" s="212"/>
      <c r="M87" s="213"/>
    </row>
    <row r="88" spans="1:13" ht="14.25" customHeight="1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>
      <c r="A90" s="202" t="str">
        <f>CONCATENATE("Rozhodčí: ",IFERROR(VLOOKUP('sk A,B - Muži'!$AS$31,seznam!$A$2:$C$25,2),""))</f>
        <v>Rozhodčí: Šimon Samuel</v>
      </c>
      <c r="B90" s="203"/>
      <c r="C90" s="204"/>
      <c r="D90" s="205" t="s">
        <v>30</v>
      </c>
      <c r="E90" s="206"/>
      <c r="F90" s="207"/>
      <c r="H90" s="202" t="str">
        <f>CONCATENATE("Rozhodčí: ",IFERROR(VLOOKUP('sk A,B - Muži'!$AS$34,seznam!$A$2:$C$25,2),""))</f>
        <v>Rozhodčí: Kmenta Josef</v>
      </c>
      <c r="I90" s="203"/>
      <c r="J90" s="204"/>
      <c r="K90" s="205" t="s">
        <v>30</v>
      </c>
      <c r="L90" s="206"/>
      <c r="M90" s="207"/>
    </row>
    <row r="91" spans="1:13" ht="18" customHeight="1" thickBot="1"/>
    <row r="92" spans="1:13" ht="36" customHeight="1">
      <c r="A92" s="208" t="str">
        <f>'sk A,B - Muži'!$C$1</f>
        <v>Žebříčkový turnaj - U11 M - I.stupeň</v>
      </c>
      <c r="B92" s="209"/>
      <c r="C92" s="209"/>
      <c r="D92" s="209"/>
      <c r="E92" s="209"/>
      <c r="F92" s="210"/>
      <c r="H92" s="208" t="str">
        <f>'sk A,B - Muži'!$C$1</f>
        <v>Žebříčkový turnaj - U11 M - I.stupeň</v>
      </c>
      <c r="I92" s="209"/>
      <c r="J92" s="209"/>
      <c r="K92" s="209"/>
      <c r="L92" s="209"/>
      <c r="M92" s="210"/>
    </row>
    <row r="93" spans="1:13" ht="36" customHeight="1" thickBot="1">
      <c r="A93" s="88" t="str">
        <f>CONCATENATE("Sk: ",MID(INDEX('sk A,B - Muži'!$C$1:'sk A,B - Muži'!$C$17,MOD(TRUNC((COLUMN()-1)/7),2 )*15+2,1),LEN("skupina ")+1,1))</f>
        <v>Sk: A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A,B - Muži'!$AE$1</f>
        <v>45773</v>
      </c>
      <c r="E93" s="62"/>
      <c r="F93" s="89" t="str">
        <f>CONCATENATE("stůl č. ",zápis!I88)</f>
        <v xml:space="preserve">stůl č. </v>
      </c>
      <c r="H93" s="88" t="str">
        <f>CONCATENATE("Sk: ",MID(INDEX('sk A,B - Muži'!$C$1:'sk A,B - Muži'!$C$17,MOD(TRUNC((COLUMN()-1)/7),2 )*15+2,1),LEN("skupina ")+1,1))</f>
        <v>Sk: B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A,B - Muži'!$AE$1</f>
        <v>45773</v>
      </c>
      <c r="L93" s="62"/>
      <c r="M93" s="89" t="str">
        <f>CONCATENATE("stůl č. ",zápis!I91)</f>
        <v xml:space="preserve">stůl č. </v>
      </c>
    </row>
    <row r="94" spans="1:13" ht="36" customHeight="1" thickBot="1">
      <c r="A94" s="211" t="str">
        <f>CONCATENATE(IF(COUNTIF(seznam!$A$2:$A$25, INDEX('sk A,B - Muži'!$AP$1:$AP$37,$C93,1) )=1,VLOOKUP(INDEX('sk A,B - Muži'!$AP$1:$AP$37,$C93,1),seznam!$A$2:$C$25,2,FALSE),"------"),"   (",IF(COUNTIF(seznam!$A$2:$A$25, INDEX('sk A,B - Muži'!$AP$1:$AP$37,$C93,1) )=1,VLOOKUP( INDEX('sk A,B - Muži'!$AP$1:$AP$37,$C93,1),seznam!$A$2:$C$25,3,FALSE),"------"),")")</f>
        <v>Tomeček Richard   (Jiskra Strážnice)</v>
      </c>
      <c r="B94" s="212"/>
      <c r="C94" s="212"/>
      <c r="D94" s="211" t="str">
        <f>CONCATENATE(IF(COUNTIF(seznam!$A$2:$A$25, INDEX('sk A,B - Muži'!$AQ$1:$AQ$37,$C93,1) )=1,VLOOKUP( INDEX('sk A,B - Muži'!$AQ$1:$AQ$37,$C93,1),seznam!$A$2:$C$25,2,FALSE),"------"),"   (",IF(COUNTIF(seznam!$A$2:$A$25, INDEX('sk A,B - Muži'!$AQ$1:$AQ$37,$C93,1) )=1,VLOOKUP( INDEX('sk A,B - Muži'!$AQ$1:$AQ$37,$C93,1),seznam!$A$2:$C$25,3,FALSE),"------"),")")</f>
        <v>Spěvák Šimon   (KST FOSFA LVA)</v>
      </c>
      <c r="E94" s="212"/>
      <c r="F94" s="213"/>
      <c r="H94" s="211" t="str">
        <f>CONCATENATE(IF(COUNTIF(seznam!$A$2:$A$25, INDEX('sk A,B - Muži'!$AP$1:$AP$37,$J93,1) )=1,VLOOKUP(INDEX('sk A,B - Muži'!$AP$1:$AP$37,$J93,1),seznam!$A$2:$C$25,2,FALSE),"------"),"   (",IF(COUNTIF(seznam!$A$2:$A$25, INDEX('sk A,B - Muži'!$AP$1:$AP$37,$J93,1) )=1,VLOOKUP( INDEX('sk A,B - Muži'!$AP$1:$AP$37,$J93,1),seznam!$A$2:$C$25,3,FALSE),"------"),")")</f>
        <v>Omelka Marek   (KST FOSFA LVA)</v>
      </c>
      <c r="I94" s="212"/>
      <c r="J94" s="212"/>
      <c r="K94" s="211" t="str">
        <f>CONCATENATE(IF(COUNTIF(seznam!$A$2:$A$25, INDEX('sk A,B - Muži'!$AQ$1:$AQ$37,$J93,1) )=1,VLOOKUP( INDEX('sk A,B - Muži'!$AQ$1:$AQ$37,$J93,1),seznam!$A$2:$C$25,2,FALSE),"------"),"   (",IF(COUNTIF(seznam!$A$2:$A$25, INDEX('sk A,B - Muži'!$AQ$1:$AQ$37,$J93,1) )=1,VLOOKUP( INDEX('sk A,B - Muži'!$AQ$1:$AQ$37,$J93,1),seznam!$A$2:$C$25,3,FALSE),"------"),")")</f>
        <v>Ides Samuel Hugo   (Sokol Brno I)</v>
      </c>
      <c r="L94" s="212"/>
      <c r="M94" s="213"/>
    </row>
    <row r="95" spans="1:13" ht="14.25" customHeight="1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>
      <c r="A97" s="202" t="str">
        <f>CONCATENATE("Rozhodčí: ",IFERROR(VLOOKUP('sk A,B - Muži'!$AS$32,seznam!$A$2:$C$25,2),""))</f>
        <v>Rozhodčí: Voráč Pavel</v>
      </c>
      <c r="B97" s="203"/>
      <c r="C97" s="204"/>
      <c r="D97" s="205" t="s">
        <v>30</v>
      </c>
      <c r="E97" s="206"/>
      <c r="F97" s="207"/>
      <c r="H97" s="202" t="str">
        <f>CONCATENATE("Rozhodčí: ",IFERROR(VLOOKUP('sk A,B - Muži'!$AS$35,seznam!$A$2:$C$25,2),""))</f>
        <v>Rozhodčí: Peťura Patrik</v>
      </c>
      <c r="I97" s="203"/>
      <c r="J97" s="204"/>
      <c r="K97" s="205" t="s">
        <v>30</v>
      </c>
      <c r="L97" s="206"/>
      <c r="M97" s="207"/>
    </row>
    <row r="98" spans="1:13" ht="18" customHeight="1" thickBot="1"/>
    <row r="99" spans="1:13" ht="36" customHeight="1">
      <c r="A99" s="208" t="str">
        <f>'sk A,B - Muži'!$C$1</f>
        <v>Žebříčkový turnaj - U11 M - I.stupeň</v>
      </c>
      <c r="B99" s="209"/>
      <c r="C99" s="209"/>
      <c r="D99" s="209"/>
      <c r="E99" s="209"/>
      <c r="F99" s="210"/>
      <c r="H99" s="208" t="str">
        <f>'sk A,B - Muži'!$C$1</f>
        <v>Žebříčkový turnaj - U11 M - I.stupeň</v>
      </c>
      <c r="I99" s="209"/>
      <c r="J99" s="209"/>
      <c r="K99" s="209"/>
      <c r="L99" s="209"/>
      <c r="M99" s="210"/>
    </row>
    <row r="100" spans="1:13" ht="36" customHeight="1" thickBot="1">
      <c r="A100" s="88" t="str">
        <f>CONCATENATE("Sk: ",MID(INDEX('sk A,B - Muži'!$C$1:'sk A,B - Muži'!$C$17,MOD(TRUNC((COLUMN()-1)/7),2 )*15+2,1),LEN("skupina ")+1,1))</f>
        <v>Sk: A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A,B - Muži'!$AE$1</f>
        <v>45773</v>
      </c>
      <c r="E100" s="62"/>
      <c r="F100" s="89" t="str">
        <f>CONCATENATE("stůl č. ",zápis!I89)</f>
        <v xml:space="preserve">stůl č. </v>
      </c>
      <c r="H100" s="88" t="str">
        <f>CONCATENATE("Sk: ",MID(INDEX('sk A,B - Muži'!$C$1:'sk A,B - Muži'!$C$17,MOD(TRUNC((COLUMN()-1)/7),2 )*15+2,1),LEN("skupina ")+1,1))</f>
        <v>Sk: B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A,B - Muži'!$AE$1</f>
        <v>45773</v>
      </c>
      <c r="L100" s="62"/>
      <c r="M100" s="89" t="str">
        <f>CONCATENATE("stůl č. ",zápis!I92)</f>
        <v xml:space="preserve">stůl č. </v>
      </c>
    </row>
    <row r="101" spans="1:13" ht="36" customHeight="1" thickBot="1">
      <c r="A101" s="211" t="str">
        <f>CONCATENATE(IF(COUNTIF(seznam!$A$2:$A$25, INDEX('sk A,B - Muži'!$AP$1:$AP$37,$C100,1) )=1,VLOOKUP(INDEX('sk A,B - Muži'!$AP$1:$AP$37,$C100,1),seznam!$A$2:$C$25,2,FALSE),"------"),"   (",IF(COUNTIF(seznam!$A$2:$A$25, INDEX('sk A,B - Muži'!$AP$1:$AP$37,$C100,1) )=1,VLOOKUP( INDEX('sk A,B - Muži'!$AP$1:$AP$37,$C100,1),seznam!$A$2:$C$25,3,FALSE),"------"),")")</f>
        <v>Šimon Samuel   (KST FOSFA LVA)</v>
      </c>
      <c r="B101" s="212"/>
      <c r="C101" s="212"/>
      <c r="D101" s="211" t="str">
        <f>CONCATENATE(IF(COUNTIF(seznam!$A$2:$A$25, INDEX('sk A,B - Muži'!$AQ$1:$AQ$37,$C100,1) )=1,VLOOKUP( INDEX('sk A,B - Muži'!$AQ$1:$AQ$37,$C100,1),seznam!$A$2:$C$25,2,FALSE),"------"),"   (",IF(COUNTIF(seznam!$A$2:$A$25, INDEX('sk A,B - Muži'!$AQ$1:$AQ$37,$C100,1) )=1,VLOOKUP( INDEX('sk A,B - Muži'!$AQ$1:$AQ$37,$C100,1),seznam!$A$2:$C$25,3,FALSE),"------"),")")</f>
        <v>Voráč Pavel   (KST Blansko)</v>
      </c>
      <c r="E101" s="212"/>
      <c r="F101" s="213"/>
      <c r="H101" s="211" t="str">
        <f>CONCATENATE(IF(COUNTIF(seznam!$A$2:$A$25, INDEX('sk A,B - Muži'!$AP$1:$AP$37,$J100,1) )=1,VLOOKUP(INDEX('sk A,B - Muži'!$AP$1:$AP$37,$J100,1),seznam!$A$2:$C$25,2,FALSE),"------"),"   (",IF(COUNTIF(seznam!$A$2:$A$25, INDEX('sk A,B - Muži'!$AP$1:$AP$37,$J100,1) )=1,VLOOKUP( INDEX('sk A,B - Muži'!$AP$1:$AP$37,$J100,1),seznam!$A$2:$C$25,3,FALSE),"------"),")")</f>
        <v>Kmenta Josef   (SKST Hodonín)</v>
      </c>
      <c r="I101" s="212"/>
      <c r="J101" s="212"/>
      <c r="K101" s="211" t="str">
        <f>CONCATENATE(IF(COUNTIF(seznam!$A$2:$A$25, INDEX('sk A,B - Muži'!$AQ$1:$AQ$37,$J100,1) )=1,VLOOKUP( INDEX('sk A,B - Muži'!$AQ$1:$AQ$37,$J100,1),seznam!$A$2:$C$25,2,FALSE),"------"),"   (",IF(COUNTIF(seznam!$A$2:$A$25, INDEX('sk A,B - Muži'!$AQ$1:$AQ$37,$J100,1) )=1,VLOOKUP( INDEX('sk A,B - Muži'!$AQ$1:$AQ$37,$J100,1),seznam!$A$2:$C$25,3,FALSE),"------"),")")</f>
        <v>Peťura Patrik   (Jiskra Strážnice)</v>
      </c>
      <c r="L101" s="212"/>
      <c r="M101" s="213"/>
    </row>
    <row r="102" spans="1:13" ht="14.25" customHeight="1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>
      <c r="A104" s="202" t="str">
        <f>CONCATENATE("Rozhodčí: ",IFERROR(VLOOKUP('sk A,B - Muži'!$AS$33,seznam!$A$2:$C$25,2),""))</f>
        <v>Rozhodčí: Látal Jan</v>
      </c>
      <c r="B104" s="203"/>
      <c r="C104" s="204"/>
      <c r="D104" s="205" t="s">
        <v>30</v>
      </c>
      <c r="E104" s="206"/>
      <c r="F104" s="207"/>
      <c r="H104" s="202" t="str">
        <f>CONCATENATE("Rozhodčí: ",IFERROR(VLOOKUP('sk A,B - Muži'!$AS$36,seznam!$A$2:$C$25,2),""))</f>
        <v>Rozhodčí: Pantlík Daniel</v>
      </c>
      <c r="I104" s="203"/>
      <c r="J104" s="204"/>
      <c r="K104" s="205" t="s">
        <v>30</v>
      </c>
      <c r="L104" s="206"/>
      <c r="M104" s="207"/>
    </row>
    <row r="105" spans="1:13" ht="18" customHeight="1"/>
  </sheetData>
  <mergeCells count="150">
    <mergeCell ref="A1:F1"/>
    <mergeCell ref="A3:C3"/>
    <mergeCell ref="H8:M8"/>
    <mergeCell ref="H1:M1"/>
    <mergeCell ref="H3:J3"/>
    <mergeCell ref="K3:M3"/>
    <mergeCell ref="H6:J6"/>
    <mergeCell ref="K6:M6"/>
    <mergeCell ref="A15:F15"/>
    <mergeCell ref="H15:M15"/>
    <mergeCell ref="K13:M13"/>
    <mergeCell ref="A13:C13"/>
    <mergeCell ref="H10:J10"/>
    <mergeCell ref="K10:M10"/>
    <mergeCell ref="D13:F13"/>
    <mergeCell ref="D3:F3"/>
    <mergeCell ref="A10:C10"/>
    <mergeCell ref="D10:F10"/>
    <mergeCell ref="A6:C6"/>
    <mergeCell ref="D6:F6"/>
    <mergeCell ref="A8:F8"/>
    <mergeCell ref="H13:J13"/>
    <mergeCell ref="K17:M17"/>
    <mergeCell ref="A20:C20"/>
    <mergeCell ref="D20:F20"/>
    <mergeCell ref="H20:J20"/>
    <mergeCell ref="K20:M20"/>
    <mergeCell ref="A17:C17"/>
    <mergeCell ref="D17:F17"/>
    <mergeCell ref="H17:J17"/>
    <mergeCell ref="A22:F22"/>
    <mergeCell ref="H22:M22"/>
    <mergeCell ref="A24:C24"/>
    <mergeCell ref="D24:F24"/>
    <mergeCell ref="H24:J24"/>
    <mergeCell ref="K24:M24"/>
    <mergeCell ref="A27:C27"/>
    <mergeCell ref="D27:F27"/>
    <mergeCell ref="H27:J27"/>
    <mergeCell ref="K27:M27"/>
    <mergeCell ref="A29:F29"/>
    <mergeCell ref="H29:M29"/>
    <mergeCell ref="K31:M31"/>
    <mergeCell ref="A34:C34"/>
    <mergeCell ref="D34:F34"/>
    <mergeCell ref="H34:J34"/>
    <mergeCell ref="K34:M34"/>
    <mergeCell ref="A31:C31"/>
    <mergeCell ref="D31:F31"/>
    <mergeCell ref="H31:J31"/>
    <mergeCell ref="A41:C41"/>
    <mergeCell ref="D41:F41"/>
    <mergeCell ref="H41:J41"/>
    <mergeCell ref="K41:M41"/>
    <mergeCell ref="A36:F36"/>
    <mergeCell ref="H36:M36"/>
    <mergeCell ref="A38:C38"/>
    <mergeCell ref="D38:F38"/>
    <mergeCell ref="H38:J38"/>
    <mergeCell ref="K38:M38"/>
    <mergeCell ref="A43:F43"/>
    <mergeCell ref="H43:M43"/>
    <mergeCell ref="A45:C45"/>
    <mergeCell ref="D45:F45"/>
    <mergeCell ref="H45:J45"/>
    <mergeCell ref="K45:M45"/>
    <mergeCell ref="A48:C48"/>
    <mergeCell ref="D48:F48"/>
    <mergeCell ref="H48:J48"/>
    <mergeCell ref="K48:M48"/>
    <mergeCell ref="A50:F50"/>
    <mergeCell ref="H50:M50"/>
    <mergeCell ref="A52:C52"/>
    <mergeCell ref="D52:F52"/>
    <mergeCell ref="H52:J52"/>
    <mergeCell ref="K52:M52"/>
    <mergeCell ref="A55:C55"/>
    <mergeCell ref="D55:F55"/>
    <mergeCell ref="H55:J55"/>
    <mergeCell ref="K55:M55"/>
    <mergeCell ref="A57:F57"/>
    <mergeCell ref="H57:M57"/>
    <mergeCell ref="A59:C59"/>
    <mergeCell ref="D59:F59"/>
    <mergeCell ref="H59:J59"/>
    <mergeCell ref="K59:M59"/>
    <mergeCell ref="A62:C62"/>
    <mergeCell ref="D62:F62"/>
    <mergeCell ref="H62:J62"/>
    <mergeCell ref="K62:M62"/>
    <mergeCell ref="A64:F64"/>
    <mergeCell ref="H64:M64"/>
    <mergeCell ref="A66:C66"/>
    <mergeCell ref="D66:F66"/>
    <mergeCell ref="H66:J66"/>
    <mergeCell ref="K66:M66"/>
    <mergeCell ref="A69:C69"/>
    <mergeCell ref="D69:F69"/>
    <mergeCell ref="H69:J69"/>
    <mergeCell ref="K69:M69"/>
    <mergeCell ref="A71:F71"/>
    <mergeCell ref="H71:M71"/>
    <mergeCell ref="A73:C73"/>
    <mergeCell ref="D73:F73"/>
    <mergeCell ref="H73:J73"/>
    <mergeCell ref="K73:M73"/>
    <mergeCell ref="A76:C76"/>
    <mergeCell ref="D76:F76"/>
    <mergeCell ref="H76:J76"/>
    <mergeCell ref="K76:M76"/>
    <mergeCell ref="A78:F78"/>
    <mergeCell ref="H78:M78"/>
    <mergeCell ref="A80:C80"/>
    <mergeCell ref="D80:F80"/>
    <mergeCell ref="H80:J80"/>
    <mergeCell ref="K80:M80"/>
    <mergeCell ref="A83:C83"/>
    <mergeCell ref="D83:F83"/>
    <mergeCell ref="H83:J83"/>
    <mergeCell ref="K83:M83"/>
    <mergeCell ref="A85:F85"/>
    <mergeCell ref="H85:M85"/>
    <mergeCell ref="A87:C87"/>
    <mergeCell ref="D87:F87"/>
    <mergeCell ref="H87:J87"/>
    <mergeCell ref="K87:M87"/>
    <mergeCell ref="A90:C90"/>
    <mergeCell ref="D90:F90"/>
    <mergeCell ref="H90:J90"/>
    <mergeCell ref="K90:M90"/>
    <mergeCell ref="A92:F92"/>
    <mergeCell ref="H92:M92"/>
    <mergeCell ref="A94:C94"/>
    <mergeCell ref="D94:F94"/>
    <mergeCell ref="H94:J94"/>
    <mergeCell ref="K94:M94"/>
    <mergeCell ref="A97:C97"/>
    <mergeCell ref="D97:F97"/>
    <mergeCell ref="H97:J97"/>
    <mergeCell ref="K97:M97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pageMargins left="0.19685039370078741" right="0.19685039370078741" top="0.39370078740157483" bottom="0.39370078740157483" header="0" footer="0"/>
  <pageSetup paperSize="9" scale="85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105"/>
  <sheetViews>
    <sheetView showGridLines="0" view="pageBreakPreview" topLeftCell="A4" zoomScale="70" zoomScaleNormal="48" zoomScaleSheetLayoutView="70" workbookViewId="0">
      <selection activeCell="A8" sqref="A8:F8"/>
    </sheetView>
  </sheetViews>
  <sheetFormatPr defaultRowHeight="12.5"/>
  <cols>
    <col min="1" max="6" width="13.7265625" customWidth="1"/>
    <col min="7" max="7" width="4.1796875" customWidth="1"/>
    <col min="8" max="13" width="13.7265625" customWidth="1"/>
    <col min="16" max="16" width="12.453125" bestFit="1" customWidth="1"/>
  </cols>
  <sheetData>
    <row r="1" spans="1:13" ht="36" customHeight="1">
      <c r="A1" s="208" t="str">
        <f>'sk C,D - Ženy'!$C$1</f>
        <v>Žebříčkový turnaj - U11 Ž - I.stupeň</v>
      </c>
      <c r="B1" s="209"/>
      <c r="C1" s="209"/>
      <c r="D1" s="209"/>
      <c r="E1" s="209"/>
      <c r="F1" s="210"/>
      <c r="H1" s="208" t="str">
        <f>'sk C,D - Ženy'!$C$1</f>
        <v>Žebříčkový turnaj - U11 Ž - I.stupeň</v>
      </c>
      <c r="I1" s="209"/>
      <c r="J1" s="209"/>
      <c r="K1" s="209"/>
      <c r="L1" s="209"/>
      <c r="M1" s="210"/>
    </row>
    <row r="2" spans="1:13" ht="36" customHeight="1" thickBot="1">
      <c r="A2" s="88" t="str">
        <f>CONCATENATE("Sk: ",MID(INDEX('sk C,D - Ženy'!$C$1:'sk C,D - Ženy'!$C$17,MOD(TRUNC((COLUMN()-1)/7),2 )*15+2,1),LEN("skupina ")+1,1))</f>
        <v>Sk: C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C,D - Ženy'!$AE$1</f>
        <v>45773</v>
      </c>
      <c r="E2" s="93"/>
      <c r="F2" s="89" t="str">
        <f>CONCATENATE("stůl č. ",zápis!I4)</f>
        <v xml:space="preserve">stůl č. </v>
      </c>
      <c r="H2" s="88" t="str">
        <f>CONCATENATE("Sk: ",MID(INDEX('sk C,D - Ženy'!$C$1:'sk C,D - Ženy'!$C$17,MOD(TRUNC((COLUMN()-1)/7),2 )*15+2,1),LEN("skupina ")+1,1))</f>
        <v>Sk: D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C,D - Ženy'!$AE$1</f>
        <v>45773</v>
      </c>
      <c r="L2" s="62"/>
      <c r="M2" s="89" t="str">
        <f>CONCATENATE("stůl č. ",zápis!I7)</f>
        <v xml:space="preserve">stůl č. </v>
      </c>
    </row>
    <row r="3" spans="1:13" ht="36" customHeight="1" thickBot="1">
      <c r="A3" s="214" t="str">
        <f>CONCATENATE(IF(COUNTIF(seznam!$A$2:$A$25, INDEX('sk C,D - Ženy'!$AP$1:$AP$37,$C2,1) )=1,VLOOKUP(INDEX('sk C,D - Ženy'!$AP$1:$AP$37,$C2,1),seznam!$A$2:$C$25,2,FALSE),"------"),"   (",IF(COUNTIF(seznam!$A$2:$A$25, INDEX('sk C,D - Ženy'!$AP$1:$AP$37,$C2,1) )=1,VLOOKUP( INDEX('sk C,D - Ženy'!$AP$1:$AP$37,$C2,1),seznam!$A$2:$C$25,3,FALSE),"------"),")")</f>
        <v>Solfronková Ema   (MS Brno)</v>
      </c>
      <c r="B3" s="215"/>
      <c r="C3" s="215"/>
      <c r="D3" s="214" t="str">
        <f>CONCATENATE(IF(COUNTIF(seznam!$A$2:$A$25, INDEX('sk C,D - Ženy'!$AQ$1:$AQ$37,$C2,1) )=1,VLOOKUP( INDEX('sk C,D - Ženy'!$AQ$1:$AQ$37,$C2,1),seznam!$A$2:$C$25,2,FALSE),"------"),"   (",IF(COUNTIF(seznam!$A$2:$A$25, INDEX('sk C,D - Ženy'!$AQ$1:$AQ$37,$C2,1) )=1,VLOOKUP( INDEX('sk C,D - Ženy'!$AQ$1:$AQ$37,$C2,1),seznam!$A$2:$C$25,3,FALSE),"------"),")")</f>
        <v>Zouharová Beáta   (KST Blansko)</v>
      </c>
      <c r="E3" s="215"/>
      <c r="F3" s="216"/>
      <c r="H3" s="214" t="str">
        <f>CONCATENATE(IF(COUNTIF(seznam!$A$2:$A$25, INDEX('sk C,D - Ženy'!$AP$1:$AP$37,$J2,1) )=1,VLOOKUP(INDEX('sk C,D - Ženy'!$AP$1:$AP$37,$J2,1),seznam!$A$2:$C$25,2,FALSE),"------"),"   (",IF(COUNTIF(seznam!$A$2:$A$25, INDEX('sk C,D - Ženy'!$AP$1:$AP$37,$J2,1) )=1,VLOOKUP( INDEX('sk C,D - Ženy'!$AP$1:$AP$37,$J2,1),seznam!$A$2:$C$25,3,FALSE),"------"),")")</f>
        <v>Pilitowská Ela   (KST Blansko)</v>
      </c>
      <c r="I3" s="215"/>
      <c r="J3" s="215"/>
      <c r="K3" s="214" t="str">
        <f>CONCATENATE(IF(COUNTIF(seznam!$A$2:$A$25, INDEX('sk C,D - Ženy'!$AQ$1:$AQ$37,$J2,1) )=1,VLOOKUP( INDEX('sk C,D - Ženy'!$AQ$1:$AQ$37,$J2,1),seznam!$A$2:$C$25,2,FALSE),"------"),"   (",IF(COUNTIF(seznam!$A$2:$A$25, INDEX('sk C,D - Ženy'!$AQ$1:$AQ$37,$J2,1) )=1,VLOOKUP( INDEX('sk C,D - Ženy'!$AQ$1:$AQ$37,$J2,1),seznam!$A$2:$C$25,3,FALSE),"------"),")")</f>
        <v>Jonášová Kristýna   (STK Zbraslavec)</v>
      </c>
      <c r="L3" s="215"/>
      <c r="M3" s="216"/>
    </row>
    <row r="4" spans="1:13" ht="14.25" customHeight="1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>
      <c r="A6" s="217" t="str">
        <f>CONCATENATE("Rozhodčí: ",IFERROR(VLOOKUP('sk C,D - Ženy'!$AS$3,seznam!$A$2:$C$25,2),""))</f>
        <v>Rozhodčí: Žilková Elen</v>
      </c>
      <c r="B6" s="206"/>
      <c r="C6" s="218"/>
      <c r="D6" s="205" t="s">
        <v>30</v>
      </c>
      <c r="E6" s="206"/>
      <c r="F6" s="207"/>
      <c r="H6" s="217" t="str">
        <f>CONCATENATE("Rozhodčí: ",IFERROR(VLOOKUP('sk C,D - Ženy'!$AS$6,seznam!$A$2:$C$25,2),""))</f>
        <v>Rozhodčí: Maradová Eliška</v>
      </c>
      <c r="I6" s="206"/>
      <c r="J6" s="218"/>
      <c r="K6" s="205" t="s">
        <v>30</v>
      </c>
      <c r="L6" s="206"/>
      <c r="M6" s="207"/>
    </row>
    <row r="7" spans="1:13" ht="18" customHeight="1" thickBot="1"/>
    <row r="8" spans="1:13" ht="36" customHeight="1">
      <c r="A8" s="208" t="str">
        <f>'sk C,D - Ženy'!$C$1</f>
        <v>Žebříčkový turnaj - U11 Ž - I.stupeň</v>
      </c>
      <c r="B8" s="209"/>
      <c r="C8" s="209"/>
      <c r="D8" s="209"/>
      <c r="E8" s="209"/>
      <c r="F8" s="210"/>
      <c r="H8" s="208" t="str">
        <f>'sk C,D - Ženy'!$C$1</f>
        <v>Žebříčkový turnaj - U11 Ž - I.stupeň</v>
      </c>
      <c r="I8" s="209"/>
      <c r="J8" s="209"/>
      <c r="K8" s="209"/>
      <c r="L8" s="209"/>
      <c r="M8" s="210"/>
    </row>
    <row r="9" spans="1:13" ht="36" customHeight="1" thickBot="1">
      <c r="A9" s="88" t="str">
        <f>CONCATENATE("Sk: ",MID(INDEX('sk C,D - Ženy'!$C$1:'sk C,D - Ženy'!$C$17,MOD(TRUNC((COLUMN()-1)/7),2 )*15+2,1),LEN("skupina ")+1,1))</f>
        <v>Sk: C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C,D - Ženy'!$AE$1</f>
        <v>45773</v>
      </c>
      <c r="E9" s="62"/>
      <c r="F9" s="89" t="str">
        <f>CONCATENATE("stůl č. ",zápis!I5)</f>
        <v xml:space="preserve">stůl č. </v>
      </c>
      <c r="H9" s="88" t="str">
        <f>CONCATENATE("Sk: ",MID(INDEX('sk C,D - Ženy'!$C$1:'sk C,D - Ženy'!$C$17,MOD(TRUNC((COLUMN()-1)/7),2 )*15+2,1),LEN("skupina ")+1,1))</f>
        <v>Sk: D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C,D - Ženy'!$AE$1</f>
        <v>45773</v>
      </c>
      <c r="L9" s="62"/>
      <c r="M9" s="89" t="str">
        <f>CONCATENATE("stůl č. ",zápis!I8)</f>
        <v xml:space="preserve">stůl č. </v>
      </c>
    </row>
    <row r="10" spans="1:13" ht="36" customHeight="1" thickBot="1">
      <c r="A10" s="214" t="str">
        <f>CONCATENATE(IF(COUNTIF(seznam!$A$2:$A$25, INDEX('sk C,D - Ženy'!$AP$1:$AP$37,$C9,1) )=1,VLOOKUP(INDEX('sk C,D - Ženy'!$AP$1:$AP$37,$C9,1),seznam!$A$2:$C$25,2,FALSE),"------"),"   (",IF(COUNTIF(seznam!$A$2:$A$25, INDEX('sk C,D - Ženy'!$AP$1:$AP$37,$C9,1) )=1,VLOOKUP( INDEX('sk C,D - Ženy'!$AP$1:$AP$37,$C9,1),seznam!$A$2:$C$25,3,FALSE),"------"),")")</f>
        <v>Svobodová Kristýna   (Jiskra Strážnice)</v>
      </c>
      <c r="B10" s="215"/>
      <c r="C10" s="215"/>
      <c r="D10" s="214" t="str">
        <f>CONCATENATE(IF(COUNTIF(seznam!$A$2:$A$25, INDEX('sk C,D - Ženy'!$AQ$1:$AQ$37,$C9,1) )=1,VLOOKUP( INDEX('sk C,D - Ženy'!$AQ$1:$AQ$37,$C9,1),seznam!$A$2:$C$25,2,FALSE),"------"),"   (",IF(COUNTIF(seznam!$A$2:$A$25, INDEX('sk C,D - Ženy'!$AQ$1:$AQ$37,$C9,1) )=1,VLOOKUP( INDEX('sk C,D - Ženy'!$AQ$1:$AQ$37,$C9,1),seznam!$A$2:$C$25,3,FALSE),"------"),")")</f>
        <v>Klašková Alžběta   (KST FOSFA LVA)</v>
      </c>
      <c r="E10" s="215"/>
      <c r="F10" s="216"/>
      <c r="H10" s="214" t="str">
        <f>CONCATENATE(IF(COUNTIF(seznam!$A$2:$A$25, INDEX('sk C,D - Ženy'!$AP$1:$AP$37,$J9,1) )=1,VLOOKUP(INDEX('sk C,D - Ženy'!$AP$1:$AP$37,$J9,1),seznam!$A$2:$C$25,2,FALSE),"------"),"   (",IF(COUNTIF(seznam!$A$2:$A$25, INDEX('sk C,D - Ženy'!$AP$1:$AP$37,$J9,1) )=1,VLOOKUP( INDEX('sk C,D - Ženy'!$AP$1:$AP$37,$J9,1),seznam!$A$2:$C$25,3,FALSE),"------"),")")</f>
        <v>Krupková Klaudie   (KST Blansko)</v>
      </c>
      <c r="I10" s="215"/>
      <c r="J10" s="215"/>
      <c r="K10" s="214" t="str">
        <f>CONCATENATE(IF(COUNTIF(seznam!$A$2:$A$25, INDEX('sk C,D - Ženy'!$AQ$1:$AQ$37,$J9,1) )=1,VLOOKUP( INDEX('sk C,D - Ženy'!$AQ$1:$AQ$37,$J9,1),seznam!$A$2:$C$25,2,FALSE),"------"),"   (",IF(COUNTIF(seznam!$A$2:$A$25, INDEX('sk C,D - Ženy'!$AQ$1:$AQ$37,$J9,1) )=1,VLOOKUP( INDEX('sk C,D - Ženy'!$AQ$1:$AQ$37,$J9,1),seznam!$A$2:$C$25,3,FALSE),"------"),")")</f>
        <v>Straková Adéla   (Vlast Ježov)</v>
      </c>
      <c r="L10" s="215"/>
      <c r="M10" s="216"/>
    </row>
    <row r="11" spans="1:13" ht="14.25" customHeight="1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>
      <c r="A13" s="217" t="str">
        <f>CONCATENATE("Rozhodčí: ",IFERROR(VLOOKUP('sk C,D - Ženy'!$AS$4,seznam!$A$2:$C$25,2),""))</f>
        <v>Rozhodčí: Křepelová Kamila</v>
      </c>
      <c r="B13" s="206"/>
      <c r="C13" s="218"/>
      <c r="D13" s="205" t="s">
        <v>30</v>
      </c>
      <c r="E13" s="206"/>
      <c r="F13" s="207"/>
      <c r="H13" s="217" t="str">
        <f>CONCATENATE("Rozhodčí: ",IFERROR(VLOOKUP('sk C,D - Ženy'!$AS$7,seznam!$A$2:$C$25,2),""))</f>
        <v>Rozhodčí: Hasoňová Jana</v>
      </c>
      <c r="I13" s="206"/>
      <c r="J13" s="218"/>
      <c r="K13" s="205" t="s">
        <v>30</v>
      </c>
      <c r="L13" s="206"/>
      <c r="M13" s="207"/>
    </row>
    <row r="14" spans="1:13" ht="18" customHeight="1" thickBot="1"/>
    <row r="15" spans="1:13" ht="36" customHeight="1">
      <c r="A15" s="208" t="str">
        <f>'sk C,D - Ženy'!$C$1</f>
        <v>Žebříčkový turnaj - U11 Ž - I.stupeň</v>
      </c>
      <c r="B15" s="209"/>
      <c r="C15" s="209"/>
      <c r="D15" s="209"/>
      <c r="E15" s="209"/>
      <c r="F15" s="210"/>
      <c r="H15" s="208" t="str">
        <f>'sk C,D - Ženy'!$C$1</f>
        <v>Žebříčkový turnaj - U11 Ž - I.stupeň</v>
      </c>
      <c r="I15" s="209"/>
      <c r="J15" s="209"/>
      <c r="K15" s="209"/>
      <c r="L15" s="209"/>
      <c r="M15" s="210"/>
    </row>
    <row r="16" spans="1:13" ht="36" customHeight="1" thickBot="1">
      <c r="A16" s="88" t="str">
        <f>CONCATENATE("Sk: ",MID(INDEX('sk C,D - Ženy'!$C$1:'sk C,D - Ženy'!$C$17,MOD(TRUNC((COLUMN()-1)/7),2 )*15+2,1),LEN("skupina ")+1,1))</f>
        <v>Sk: C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C,D - Ženy'!$AE$1</f>
        <v>45773</v>
      </c>
      <c r="E16" s="62"/>
      <c r="F16" s="89" t="str">
        <f>CONCATENATE("stůl č. ",zápis!I6)</f>
        <v xml:space="preserve">stůl č. </v>
      </c>
      <c r="H16" s="88" t="str">
        <f>CONCATENATE("Sk: ",MID(INDEX('sk C,D - Ženy'!$C$1:'sk C,D - Ženy'!$C$17,MOD(TRUNC((COLUMN()-1)/7),2 )*15+2,1),LEN("skupina ")+1,1))</f>
        <v>Sk: D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C,D - Ženy'!$AE$1</f>
        <v>45773</v>
      </c>
      <c r="L16" s="62"/>
      <c r="M16" s="89" t="str">
        <f>CONCATENATE("stůl č. ",zápis!I9)</f>
        <v xml:space="preserve">stůl č. </v>
      </c>
    </row>
    <row r="17" spans="1:13" ht="36" customHeight="1" thickBot="1">
      <c r="A17" s="214" t="str">
        <f>CONCATENATE(IF(COUNTIF(seznam!$A$2:$A$25, INDEX('sk C,D - Ženy'!$AP$1:$AP$37,$C16,1) )=1,VLOOKUP(INDEX('sk C,D - Ženy'!$AP$1:$AP$37,$C16,1),seznam!$A$2:$C$25,2,FALSE),"------"),"   (",IF(COUNTIF(seznam!$A$2:$A$25, INDEX('sk C,D - Ženy'!$AP$1:$AP$37,$C16,1) )=1,VLOOKUP( INDEX('sk C,D - Ženy'!$AP$1:$AP$37,$C16,1),seznam!$A$2:$C$25,3,FALSE),"------"),")")</f>
        <v>Žilková Elen   (Prace)</v>
      </c>
      <c r="B17" s="215"/>
      <c r="C17" s="215"/>
      <c r="D17" s="214" t="str">
        <f>CONCATENATE(IF(COUNTIF(seznam!$A$2:$A$25, INDEX('sk C,D - Ženy'!$AQ$1:$AQ$37,$C16,1) )=1,VLOOKUP( INDEX('sk C,D - Ženy'!$AQ$1:$AQ$37,$C16,1),seznam!$A$2:$C$25,2,FALSE),"------"),"   (",IF(COUNTIF(seznam!$A$2:$A$25, INDEX('sk C,D - Ženy'!$AQ$1:$AQ$37,$C16,1) )=1,VLOOKUP( INDEX('sk C,D - Ženy'!$AQ$1:$AQ$37,$C16,1),seznam!$A$2:$C$25,3,FALSE),"------"),")")</f>
        <v>Křepelová Kamila   (STK Zbraslavec)</v>
      </c>
      <c r="E17" s="215"/>
      <c r="F17" s="216"/>
      <c r="H17" s="214" t="str">
        <f>CONCATENATE(IF(COUNTIF(seznam!$A$2:$A$25, INDEX('sk C,D - Ženy'!$AP$1:$AP$37,$J16,1) )=1,VLOOKUP(INDEX('sk C,D - Ženy'!$AP$1:$AP$37,$J16,1),seznam!$A$2:$C$25,2,FALSE),"------"),"   (",IF(COUNTIF(seznam!$A$2:$A$25, INDEX('sk C,D - Ženy'!$AP$1:$AP$37,$J16,1) )=1,VLOOKUP( INDEX('sk C,D - Ženy'!$AP$1:$AP$37,$J16,1),seznam!$A$2:$C$25,3,FALSE),"------"),")")</f>
        <v>Maradová Eliška   (MS Brno)</v>
      </c>
      <c r="I17" s="215"/>
      <c r="J17" s="215"/>
      <c r="K17" s="214" t="str">
        <f>CONCATENATE(IF(COUNTIF(seznam!$A$2:$A$25, INDEX('sk C,D - Ženy'!$AQ$1:$AQ$37,$J16,1) )=1,VLOOKUP( INDEX('sk C,D - Ženy'!$AQ$1:$AQ$37,$J16,1),seznam!$A$2:$C$25,2,FALSE),"------"),"   (",IF(COUNTIF(seznam!$A$2:$A$25, INDEX('sk C,D - Ženy'!$AQ$1:$AQ$37,$J16,1) )=1,VLOOKUP( INDEX('sk C,D - Ženy'!$AQ$1:$AQ$37,$J16,1),seznam!$A$2:$C$25,3,FALSE),"------"),")")</f>
        <v>Hasoňová Jana   (SKST Hodonín)</v>
      </c>
      <c r="L17" s="215"/>
      <c r="M17" s="216"/>
    </row>
    <row r="18" spans="1:13" ht="14.25" customHeight="1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>
      <c r="A20" s="217" t="str">
        <f>CONCATENATE("Rozhodčí: ",IFERROR(VLOOKUP('sk C,D - Ženy'!$AS$5,seznam!$A$2:$C$25,2),""))</f>
        <v>Rozhodčí: Solfronková Ema</v>
      </c>
      <c r="B20" s="206"/>
      <c r="C20" s="218"/>
      <c r="D20" s="205" t="s">
        <v>30</v>
      </c>
      <c r="E20" s="206"/>
      <c r="F20" s="207"/>
      <c r="H20" s="217" t="str">
        <f>CONCATENATE("Rozhodčí: ",IFERROR(VLOOKUP('sk C,D - Ženy'!$AS$8,seznam!$A$2:$C$25,2),""))</f>
        <v>Rozhodčí: Pilitowská Ela</v>
      </c>
      <c r="I20" s="206"/>
      <c r="J20" s="218"/>
      <c r="K20" s="205" t="s">
        <v>30</v>
      </c>
      <c r="L20" s="206"/>
      <c r="M20" s="207"/>
    </row>
    <row r="21" spans="1:13" ht="18" customHeight="1" thickBot="1"/>
    <row r="22" spans="1:13" ht="36" customHeight="1">
      <c r="A22" s="208" t="str">
        <f>'sk C,D - Ženy'!$C$1</f>
        <v>Žebříčkový turnaj - U11 Ž - I.stupeň</v>
      </c>
      <c r="B22" s="209"/>
      <c r="C22" s="209"/>
      <c r="D22" s="209"/>
      <c r="E22" s="209"/>
      <c r="F22" s="210"/>
      <c r="H22" s="208" t="str">
        <f>'sk C,D - Ženy'!$C$1</f>
        <v>Žebříčkový turnaj - U11 Ž - I.stupeň</v>
      </c>
      <c r="I22" s="209"/>
      <c r="J22" s="209"/>
      <c r="K22" s="209"/>
      <c r="L22" s="209"/>
      <c r="M22" s="210"/>
    </row>
    <row r="23" spans="1:13" ht="36" customHeight="1" thickBot="1">
      <c r="A23" s="88" t="str">
        <f>CONCATENATE("Sk: ",MID(INDEX('sk C,D - Ženy'!$C$1:'sk C,D - Ženy'!$C$17,MOD(TRUNC((COLUMN()-1)/7),2 )*15+2,1),LEN("skupina ")+1,1))</f>
        <v>Sk: C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C,D - Ženy'!$AE$1</f>
        <v>45773</v>
      </c>
      <c r="E23" s="93"/>
      <c r="F23" s="89" t="str">
        <f>CONCATENATE("stůl č. ",zápis!I25)</f>
        <v xml:space="preserve">stůl č. </v>
      </c>
      <c r="H23" s="88" t="str">
        <f>CONCATENATE("Sk: ",MID(INDEX('sk C,D - Ženy'!$C$1:'sk C,D - Ženy'!$C$17,MOD(TRUNC((COLUMN()-1)/7),2 )*15+2,1),LEN("skupina ")+1,1))</f>
        <v>Sk: D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C,D - Ženy'!$AE$1</f>
        <v>45773</v>
      </c>
      <c r="L23" s="62"/>
      <c r="M23" s="89" t="str">
        <f>CONCATENATE("stůl č. ",zápis!I28)</f>
        <v xml:space="preserve">stůl č. </v>
      </c>
    </row>
    <row r="24" spans="1:13" ht="36" customHeight="1" thickBot="1">
      <c r="A24" s="214" t="str">
        <f>CONCATENATE(IF(COUNTIF(seznam!$A$2:$A$25, INDEX('sk C,D - Ženy'!$AP$1:$AP$37,$C23,1) )=1,VLOOKUP(INDEX('sk C,D - Ženy'!$AP$1:$AP$37,$C23,1),seznam!$A$2:$C$25,2,FALSE),"------"),"   (",IF(COUNTIF(seznam!$A$2:$A$25, INDEX('sk C,D - Ženy'!$AP$1:$AP$37,$C23,1) )=1,VLOOKUP( INDEX('sk C,D - Ženy'!$AP$1:$AP$37,$C23,1),seznam!$A$2:$C$25,3,FALSE),"------"),")")</f>
        <v>Zouharová Beáta   (KST Blansko)</v>
      </c>
      <c r="B24" s="215"/>
      <c r="C24" s="215"/>
      <c r="D24" s="214" t="str">
        <f>CONCATENATE(IF(COUNTIF(seznam!$A$2:$A$25, INDEX('sk C,D - Ženy'!$AQ$1:$AQ$37,$C23,1) )=1,VLOOKUP( INDEX('sk C,D - Ženy'!$AQ$1:$AQ$37,$C23,1),seznam!$A$2:$C$25,2,FALSE),"------"),"   (",IF(COUNTIF(seznam!$A$2:$A$25, INDEX('sk C,D - Ženy'!$AQ$1:$AQ$37,$C23,1) )=1,VLOOKUP( INDEX('sk C,D - Ženy'!$AQ$1:$AQ$37,$C23,1),seznam!$A$2:$C$25,3,FALSE),"------"),")")</f>
        <v>Křepelová Kamila   (STK Zbraslavec)</v>
      </c>
      <c r="E24" s="215"/>
      <c r="F24" s="216"/>
      <c r="H24" s="214" t="str">
        <f>CONCATENATE(IF(COUNTIF(seznam!$A$2:$A$25, INDEX('sk C,D - Ženy'!$AP$1:$AP$37,$J23,1) )=1,VLOOKUP(INDEX('sk C,D - Ženy'!$AP$1:$AP$37,$J23,1),seznam!$A$2:$C$25,2,FALSE),"------"),"   (",IF(COUNTIF(seznam!$A$2:$A$25, INDEX('sk C,D - Ženy'!$AP$1:$AP$37,$J23,1) )=1,VLOOKUP( INDEX('sk C,D - Ženy'!$AP$1:$AP$37,$J23,1),seznam!$A$2:$C$25,3,FALSE),"------"),")")</f>
        <v>Jonášová Kristýna   (STK Zbraslavec)</v>
      </c>
      <c r="I24" s="215"/>
      <c r="J24" s="215"/>
      <c r="K24" s="214" t="str">
        <f>CONCATENATE(IF(COUNTIF(seznam!$A$2:$A$25, INDEX('sk C,D - Ženy'!$AQ$1:$AQ$37,$J23,1) )=1,VLOOKUP( INDEX('sk C,D - Ženy'!$AQ$1:$AQ$37,$J23,1),seznam!$A$2:$C$25,2,FALSE),"------"),"   (",IF(COUNTIF(seznam!$A$2:$A$25, INDEX('sk C,D - Ženy'!$AQ$1:$AQ$37,$J23,1) )=1,VLOOKUP( INDEX('sk C,D - Ženy'!$AQ$1:$AQ$37,$J23,1),seznam!$A$2:$C$25,3,FALSE),"------"),")")</f>
        <v>Hasoňová Jana   (SKST Hodonín)</v>
      </c>
      <c r="L24" s="215"/>
      <c r="M24" s="216"/>
    </row>
    <row r="25" spans="1:13" ht="14.25" customHeight="1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>
      <c r="A27" s="217" t="str">
        <f>CONCATENATE("Rozhodčí: ",IFERROR(VLOOKUP('sk C,D - Ženy'!$AS$10,seznam!$A$2:$C$25,2),""))</f>
        <v>Rozhodčí: Klašková Alžběta</v>
      </c>
      <c r="B27" s="206"/>
      <c r="C27" s="218"/>
      <c r="D27" s="205" t="s">
        <v>30</v>
      </c>
      <c r="E27" s="206"/>
      <c r="F27" s="207"/>
      <c r="H27" s="217" t="str">
        <f>CONCATENATE("Rozhodčí: ",IFERROR(VLOOKUP('sk C,D - Ženy'!$AS$13,seznam!$A$2:$C$25,2),""))</f>
        <v>Rozhodčí: Straková Adéla</v>
      </c>
      <c r="I27" s="206"/>
      <c r="J27" s="218"/>
      <c r="K27" s="205" t="s">
        <v>30</v>
      </c>
      <c r="L27" s="206"/>
      <c r="M27" s="207"/>
    </row>
    <row r="28" spans="1:13" ht="18" customHeight="1" thickBot="1"/>
    <row r="29" spans="1:13" ht="36" customHeight="1">
      <c r="A29" s="208" t="str">
        <f>'sk C,D - Ženy'!$C$1</f>
        <v>Žebříčkový turnaj - U11 Ž - I.stupeň</v>
      </c>
      <c r="B29" s="209"/>
      <c r="C29" s="209"/>
      <c r="D29" s="209"/>
      <c r="E29" s="209"/>
      <c r="F29" s="210"/>
      <c r="H29" s="208" t="str">
        <f>'sk C,D - Ženy'!$C$1</f>
        <v>Žebříčkový turnaj - U11 Ž - I.stupeň</v>
      </c>
      <c r="I29" s="209"/>
      <c r="J29" s="209"/>
      <c r="K29" s="209"/>
      <c r="L29" s="209"/>
      <c r="M29" s="210"/>
    </row>
    <row r="30" spans="1:13" ht="36" customHeight="1" thickBot="1">
      <c r="A30" s="88" t="str">
        <f>CONCATENATE("Sk: ",MID(INDEX('sk C,D - Ženy'!$C$1:'sk C,D - Ženy'!$C$17,MOD(TRUNC((COLUMN()-1)/7),2 )*15+2,1),LEN("skupina ")+1,1))</f>
        <v>Sk: C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C,D - Ženy'!$AE$1</f>
        <v>45773</v>
      </c>
      <c r="E30" s="62"/>
      <c r="F30" s="89" t="str">
        <f>CONCATENATE("stůl č. ",zápis!I26)</f>
        <v xml:space="preserve">stůl č. </v>
      </c>
      <c r="H30" s="88" t="str">
        <f>CONCATENATE("Sk: ",MID(INDEX('sk C,D - Ženy'!$C$1:'sk C,D - Ženy'!$C$17,MOD(TRUNC((COLUMN()-1)/7),2 )*15+2,1),LEN("skupina ")+1,1))</f>
        <v>Sk: D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C,D - Ženy'!$AE$1</f>
        <v>45773</v>
      </c>
      <c r="L30" s="62"/>
      <c r="M30" s="89" t="str">
        <f>CONCATENATE("stůl č. ",zápis!I29)</f>
        <v xml:space="preserve">stůl č. </v>
      </c>
    </row>
    <row r="31" spans="1:13" ht="36" customHeight="1" thickBot="1">
      <c r="A31" s="214" t="str">
        <f>CONCATENATE(IF(COUNTIF(seznam!$A$2:$A$25, INDEX('sk C,D - Ženy'!$AP$1:$AP$37,$C30,1) )=1,VLOOKUP(INDEX('sk C,D - Ženy'!$AP$1:$AP$37,$C30,1),seznam!$A$2:$C$25,2,FALSE),"------"),"   (",IF(COUNTIF(seznam!$A$2:$A$25, INDEX('sk C,D - Ženy'!$AP$1:$AP$37,$C30,1) )=1,VLOOKUP( INDEX('sk C,D - Ženy'!$AP$1:$AP$37,$C30,1),seznam!$A$2:$C$25,3,FALSE),"------"),")")</f>
        <v>Klašková Alžběta   (KST FOSFA LVA)</v>
      </c>
      <c r="B31" s="215"/>
      <c r="C31" s="215"/>
      <c r="D31" s="214" t="str">
        <f>CONCATENATE(IF(COUNTIF(seznam!$A$2:$A$25, INDEX('sk C,D - Ženy'!$AQ$1:$AQ$37,$C30,1) )=1,VLOOKUP( INDEX('sk C,D - Ženy'!$AQ$1:$AQ$37,$C30,1),seznam!$A$2:$C$25,2,FALSE),"------"),"   (",IF(COUNTIF(seznam!$A$2:$A$25, INDEX('sk C,D - Ženy'!$AQ$1:$AQ$37,$C30,1) )=1,VLOOKUP( INDEX('sk C,D - Ženy'!$AQ$1:$AQ$37,$C30,1),seznam!$A$2:$C$25,3,FALSE),"------"),")")</f>
        <v>Žilková Elen   (Prace)</v>
      </c>
      <c r="E31" s="215"/>
      <c r="F31" s="216"/>
      <c r="H31" s="214" t="str">
        <f>CONCATENATE(IF(COUNTIF(seznam!$A$2:$A$25, INDEX('sk C,D - Ženy'!$AP$1:$AP$37,$J30,1) )=1,VLOOKUP(INDEX('sk C,D - Ženy'!$AP$1:$AP$37,$J30,1),seznam!$A$2:$C$25,2,FALSE),"------"),"   (",IF(COUNTIF(seznam!$A$2:$A$25, INDEX('sk C,D - Ženy'!$AP$1:$AP$37,$J30,1) )=1,VLOOKUP( INDEX('sk C,D - Ženy'!$AP$1:$AP$37,$J30,1),seznam!$A$2:$C$25,3,FALSE),"------"),")")</f>
        <v>Straková Adéla   (Vlast Ježov)</v>
      </c>
      <c r="I31" s="215"/>
      <c r="J31" s="215"/>
      <c r="K31" s="214" t="str">
        <f>CONCATENATE(IF(COUNTIF(seznam!$A$2:$A$25, INDEX('sk C,D - Ženy'!$AQ$1:$AQ$37,$J30,1) )=1,VLOOKUP( INDEX('sk C,D - Ženy'!$AQ$1:$AQ$37,$J30,1),seznam!$A$2:$C$25,2,FALSE),"------"),"   (",IF(COUNTIF(seznam!$A$2:$A$25, INDEX('sk C,D - Ženy'!$AQ$1:$AQ$37,$J30,1) )=1,VLOOKUP( INDEX('sk C,D - Ženy'!$AQ$1:$AQ$37,$J30,1),seznam!$A$2:$C$25,3,FALSE),"------"),")")</f>
        <v>Maradová Eliška   (MS Brno)</v>
      </c>
      <c r="L31" s="215"/>
      <c r="M31" s="216"/>
    </row>
    <row r="32" spans="1:13" ht="14.25" customHeight="1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>
      <c r="A34" s="217" t="str">
        <f>CONCATENATE("Rozhodčí: ",IFERROR(VLOOKUP('sk C,D - Ženy'!$AS$11,seznam!$A$2:$C$25,2),""))</f>
        <v>Rozhodčí: Svobodová Kristýna</v>
      </c>
      <c r="B34" s="206"/>
      <c r="C34" s="218"/>
      <c r="D34" s="205" t="s">
        <v>30</v>
      </c>
      <c r="E34" s="206"/>
      <c r="F34" s="207"/>
      <c r="H34" s="217" t="str">
        <f>CONCATENATE("Rozhodčí: ",IFERROR(VLOOKUP('sk C,D - Ženy'!$AS$14,seznam!$A$2:$C$25,2),""))</f>
        <v>Rozhodčí: Krupková Klaudie</v>
      </c>
      <c r="I34" s="206"/>
      <c r="J34" s="218"/>
      <c r="K34" s="205" t="s">
        <v>30</v>
      </c>
      <c r="L34" s="206"/>
      <c r="M34" s="207"/>
    </row>
    <row r="35" spans="1:13" ht="18" customHeight="1" thickBot="1"/>
    <row r="36" spans="1:13" ht="36" customHeight="1">
      <c r="A36" s="208" t="str">
        <f>'sk C,D - Ženy'!$C$1</f>
        <v>Žebříčkový turnaj - U11 Ž - I.stupeň</v>
      </c>
      <c r="B36" s="209"/>
      <c r="C36" s="209"/>
      <c r="D36" s="209"/>
      <c r="E36" s="209"/>
      <c r="F36" s="210"/>
      <c r="H36" s="208" t="str">
        <f>'sk C,D - Ženy'!$C$1</f>
        <v>Žebříčkový turnaj - U11 Ž - I.stupeň</v>
      </c>
      <c r="I36" s="209"/>
      <c r="J36" s="209"/>
      <c r="K36" s="209"/>
      <c r="L36" s="209"/>
      <c r="M36" s="210"/>
    </row>
    <row r="37" spans="1:13" ht="36" customHeight="1" thickBot="1">
      <c r="A37" s="88" t="str">
        <f>CONCATENATE("Sk: ",MID(INDEX('sk C,D - Ženy'!$C$1:'sk C,D - Ženy'!$C$17,MOD(TRUNC((COLUMN()-1)/7),2 )*15+2,1),LEN("skupina ")+1,1))</f>
        <v>Sk: C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C,D - Ženy'!$AE$1</f>
        <v>45773</v>
      </c>
      <c r="E37" s="62"/>
      <c r="F37" s="89" t="str">
        <f>CONCATENATE("stůl č. ",zápis!I27)</f>
        <v xml:space="preserve">stůl č. </v>
      </c>
      <c r="H37" s="88" t="str">
        <f>CONCATENATE("Sk: ",MID(INDEX('sk C,D - Ženy'!$C$1:'sk C,D - Ženy'!$C$17,MOD(TRUNC((COLUMN()-1)/7),2 )*15+2,1),LEN("skupina ")+1,1))</f>
        <v>Sk: D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C,D - Ženy'!$AE$1</f>
        <v>45773</v>
      </c>
      <c r="L37" s="62"/>
      <c r="M37" s="89" t="str">
        <f>CONCATENATE("stůl č. ",zápis!I30)</f>
        <v xml:space="preserve">stůl č. </v>
      </c>
    </row>
    <row r="38" spans="1:13" ht="36" customHeight="1" thickBot="1">
      <c r="A38" s="214" t="str">
        <f>CONCATENATE(IF(COUNTIF(seznam!$A$2:$A$25, INDEX('sk C,D - Ženy'!$AP$1:$AP$37,$C37,1) )=1,VLOOKUP(INDEX('sk C,D - Ženy'!$AP$1:$AP$37,$C37,1),seznam!$A$2:$C$25,2,FALSE),"------"),"   (",IF(COUNTIF(seznam!$A$2:$A$25, INDEX('sk C,D - Ženy'!$AP$1:$AP$37,$C37,1) )=1,VLOOKUP( INDEX('sk C,D - Ženy'!$AP$1:$AP$37,$C37,1),seznam!$A$2:$C$25,3,FALSE),"------"),")")</f>
        <v>Solfronková Ema   (MS Brno)</v>
      </c>
      <c r="B38" s="215"/>
      <c r="C38" s="215"/>
      <c r="D38" s="214" t="str">
        <f>CONCATENATE(IF(COUNTIF(seznam!$A$2:$A$25, INDEX('sk C,D - Ženy'!$AQ$1:$AQ$37,$C37,1) )=1,VLOOKUP( INDEX('sk C,D - Ženy'!$AQ$1:$AQ$37,$C37,1),seznam!$A$2:$C$25,2,FALSE),"------"),"   (",IF(COUNTIF(seznam!$A$2:$A$25, INDEX('sk C,D - Ženy'!$AQ$1:$AQ$37,$C37,1) )=1,VLOOKUP( INDEX('sk C,D - Ženy'!$AQ$1:$AQ$37,$C37,1),seznam!$A$2:$C$25,3,FALSE),"------"),")")</f>
        <v>Svobodová Kristýna   (Jiskra Strážnice)</v>
      </c>
      <c r="E38" s="215"/>
      <c r="F38" s="216"/>
      <c r="H38" s="214" t="str">
        <f>CONCATENATE(IF(COUNTIF(seznam!$A$2:$A$25, INDEX('sk C,D - Ženy'!$AP$1:$AP$37,$J37,1) )=1,VLOOKUP(INDEX('sk C,D - Ženy'!$AP$1:$AP$37,$J37,1),seznam!$A$2:$C$25,2,FALSE),"------"),"   (",IF(COUNTIF(seznam!$A$2:$A$25, INDEX('sk C,D - Ženy'!$AP$1:$AP$37,$J37,1) )=1,VLOOKUP( INDEX('sk C,D - Ženy'!$AP$1:$AP$37,$J37,1),seznam!$A$2:$C$25,3,FALSE),"------"),")")</f>
        <v>Pilitowská Ela   (KST Blansko)</v>
      </c>
      <c r="I38" s="215"/>
      <c r="J38" s="215"/>
      <c r="K38" s="214" t="str">
        <f>CONCATENATE(IF(COUNTIF(seznam!$A$2:$A$25, INDEX('sk C,D - Ženy'!$AQ$1:$AQ$37,$J37,1) )=1,VLOOKUP( INDEX('sk C,D - Ženy'!$AQ$1:$AQ$37,$J37,1),seznam!$A$2:$C$25,2,FALSE),"------"),"   (",IF(COUNTIF(seznam!$A$2:$A$25, INDEX('sk C,D - Ženy'!$AQ$1:$AQ$37,$J37,1) )=1,VLOOKUP( INDEX('sk C,D - Ženy'!$AQ$1:$AQ$37,$J37,1),seznam!$A$2:$C$25,3,FALSE),"------"),")")</f>
        <v>Krupková Klaudie   (KST Blansko)</v>
      </c>
      <c r="L38" s="215"/>
      <c r="M38" s="216"/>
    </row>
    <row r="39" spans="1:13" ht="14.25" customHeight="1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>
      <c r="A41" s="217" t="str">
        <f>CONCATENATE("Rozhodčí: ",IFERROR(VLOOKUP('sk C,D - Ženy'!$AS$12,seznam!$A$2:$C$25,2),""))</f>
        <v>Rozhodčí: Zouharová Beáta</v>
      </c>
      <c r="B41" s="206"/>
      <c r="C41" s="218"/>
      <c r="D41" s="205" t="s">
        <v>30</v>
      </c>
      <c r="E41" s="206"/>
      <c r="F41" s="207"/>
      <c r="H41" s="217" t="str">
        <f>CONCATENATE("Rozhodčí: ",IFERROR(VLOOKUP('sk C,D - Ženy'!$AS$15,seznam!$A$2:$C$25,2),""))</f>
        <v>Rozhodčí: Jonášová Kristýna</v>
      </c>
      <c r="I41" s="206"/>
      <c r="J41" s="218"/>
      <c r="K41" s="205" t="s">
        <v>30</v>
      </c>
      <c r="L41" s="206"/>
      <c r="M41" s="207"/>
    </row>
    <row r="42" spans="1:13" ht="18" customHeight="1" thickBot="1"/>
    <row r="43" spans="1:13" ht="36" customHeight="1">
      <c r="A43" s="208" t="str">
        <f>'sk C,D - Ženy'!$C$1</f>
        <v>Žebříčkový turnaj - U11 Ž - I.stupeň</v>
      </c>
      <c r="B43" s="209"/>
      <c r="C43" s="209"/>
      <c r="D43" s="209"/>
      <c r="E43" s="209"/>
      <c r="F43" s="210"/>
      <c r="H43" s="208" t="str">
        <f>'sk C,D - Ženy'!$C$1</f>
        <v>Žebříčkový turnaj - U11 Ž - I.stupeň</v>
      </c>
      <c r="I43" s="209"/>
      <c r="J43" s="209"/>
      <c r="K43" s="209"/>
      <c r="L43" s="209"/>
      <c r="M43" s="210"/>
    </row>
    <row r="44" spans="1:13" ht="36" customHeight="1" thickBot="1">
      <c r="A44" s="88" t="str">
        <f>CONCATENATE("Sk: ",MID(INDEX('sk C,D - Ženy'!$C$1:'sk C,D - Ženy'!$C$17,MOD(TRUNC((COLUMN()-1)/7),2 )*15+2,1),LEN("skupina ")+1,1))</f>
        <v>Sk: C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C,D - Ženy'!$AE$1</f>
        <v>45773</v>
      </c>
      <c r="E44" s="93"/>
      <c r="F44" s="89" t="str">
        <f>CONCATENATE("stůl č. ",zápis!I46)</f>
        <v xml:space="preserve">stůl č. </v>
      </c>
      <c r="H44" s="88" t="str">
        <f>CONCATENATE("Sk: ",MID(INDEX('sk C,D - Ženy'!$C$1:'sk C,D - Ženy'!$C$17,MOD(TRUNC((COLUMN()-1)/7),2 )*15+2,1),LEN("skupina ")+1,1))</f>
        <v>Sk: D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C,D - Ženy'!$AE$1</f>
        <v>45773</v>
      </c>
      <c r="L44" s="62"/>
      <c r="M44" s="89" t="str">
        <f>CONCATENATE("stůl č. ",zápis!I49)</f>
        <v xml:space="preserve">stůl č. </v>
      </c>
    </row>
    <row r="45" spans="1:13" ht="36" customHeight="1" thickBot="1">
      <c r="A45" s="214" t="str">
        <f>CONCATENATE(IF(COUNTIF(seznam!$A$2:$A$25, INDEX('sk C,D - Ženy'!$AP$1:$AP$37,$C44,1) )=1,VLOOKUP(INDEX('sk C,D - Ženy'!$AP$1:$AP$37,$C44,1),seznam!$A$2:$C$25,2,FALSE),"------"),"   (",IF(COUNTIF(seznam!$A$2:$A$25, INDEX('sk C,D - Ženy'!$AP$1:$AP$37,$C44,1) )=1,VLOOKUP( INDEX('sk C,D - Ženy'!$AP$1:$AP$37,$C44,1),seznam!$A$2:$C$25,3,FALSE),"------"),")")</f>
        <v>Svobodová Kristýna   (Jiskra Strážnice)</v>
      </c>
      <c r="B45" s="215"/>
      <c r="C45" s="215"/>
      <c r="D45" s="214" t="str">
        <f>CONCATENATE(IF(COUNTIF(seznam!$A$2:$A$25, INDEX('sk C,D - Ženy'!$AQ$1:$AQ$37,$C44,1) )=1,VLOOKUP( INDEX('sk C,D - Ženy'!$AQ$1:$AQ$37,$C44,1),seznam!$A$2:$C$25,2,FALSE),"------"),"   (",IF(COUNTIF(seznam!$A$2:$A$25, INDEX('sk C,D - Ženy'!$AQ$1:$AQ$37,$C44,1) )=1,VLOOKUP( INDEX('sk C,D - Ženy'!$AQ$1:$AQ$37,$C44,1),seznam!$A$2:$C$25,3,FALSE),"------"),")")</f>
        <v>Zouharová Beáta   (KST Blansko)</v>
      </c>
      <c r="E45" s="215"/>
      <c r="F45" s="216"/>
      <c r="H45" s="214" t="str">
        <f>CONCATENATE(IF(COUNTIF(seznam!$A$2:$A$25, INDEX('sk C,D - Ženy'!$AP$1:$AP$37,$J44,1) )=1,VLOOKUP(INDEX('sk C,D - Ženy'!$AP$1:$AP$37,$J44,1),seznam!$A$2:$C$25,2,FALSE),"------"),"   (",IF(COUNTIF(seznam!$A$2:$A$25, INDEX('sk C,D - Ženy'!$AP$1:$AP$37,$J44,1) )=1,VLOOKUP( INDEX('sk C,D - Ženy'!$AP$1:$AP$37,$J44,1),seznam!$A$2:$C$25,3,FALSE),"------"),")")</f>
        <v>Krupková Klaudie   (KST Blansko)</v>
      </c>
      <c r="I45" s="215"/>
      <c r="J45" s="215"/>
      <c r="K45" s="214" t="str">
        <f>CONCATENATE(IF(COUNTIF(seznam!$A$2:$A$25, INDEX('sk C,D - Ženy'!$AQ$1:$AQ$37,$J44,1) )=1,VLOOKUP( INDEX('sk C,D - Ženy'!$AQ$1:$AQ$37,$J44,1),seznam!$A$2:$C$25,2,FALSE),"------"),"   (",IF(COUNTIF(seznam!$A$2:$A$25, INDEX('sk C,D - Ženy'!$AQ$1:$AQ$37,$J44,1) )=1,VLOOKUP( INDEX('sk C,D - Ženy'!$AQ$1:$AQ$37,$J44,1),seznam!$A$2:$C$25,3,FALSE),"------"),")")</f>
        <v>Jonášová Kristýna   (STK Zbraslavec)</v>
      </c>
      <c r="L45" s="215"/>
      <c r="M45" s="216"/>
    </row>
    <row r="46" spans="1:13" ht="14.25" customHeight="1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>
      <c r="A48" s="217" t="str">
        <f>CONCATENATE("Rozhodčí: ",IFERROR(VLOOKUP('sk C,D - Ženy'!$AS$17,seznam!$A$2:$C$25,2),""))</f>
        <v>Rozhodčí: Křepelová Kamila</v>
      </c>
      <c r="B48" s="206"/>
      <c r="C48" s="218"/>
      <c r="D48" s="205" t="s">
        <v>30</v>
      </c>
      <c r="E48" s="206"/>
      <c r="F48" s="207"/>
      <c r="H48" s="217" t="str">
        <f>CONCATENATE("Rozhodčí: ",IFERROR(VLOOKUP('sk C,D - Ženy'!$AS$20,seznam!$A$2:$C$25,2),""))</f>
        <v>Rozhodčí: Hasoňová Jana</v>
      </c>
      <c r="I48" s="206"/>
      <c r="J48" s="218"/>
      <c r="K48" s="205" t="s">
        <v>30</v>
      </c>
      <c r="L48" s="206"/>
      <c r="M48" s="207"/>
    </row>
    <row r="49" spans="1:13" ht="18" customHeight="1" thickBot="1"/>
    <row r="50" spans="1:13" ht="36" customHeight="1">
      <c r="A50" s="208" t="str">
        <f>'sk C,D - Ženy'!$C$1</f>
        <v>Žebříčkový turnaj - U11 Ž - I.stupeň</v>
      </c>
      <c r="B50" s="209"/>
      <c r="C50" s="209"/>
      <c r="D50" s="209"/>
      <c r="E50" s="209"/>
      <c r="F50" s="210"/>
      <c r="H50" s="208" t="str">
        <f>'sk C,D - Ženy'!$C$1</f>
        <v>Žebříčkový turnaj - U11 Ž - I.stupeň</v>
      </c>
      <c r="I50" s="209"/>
      <c r="J50" s="209"/>
      <c r="K50" s="209"/>
      <c r="L50" s="209"/>
      <c r="M50" s="210"/>
    </row>
    <row r="51" spans="1:13" ht="36" customHeight="1" thickBot="1">
      <c r="A51" s="88" t="str">
        <f>CONCATENATE("Sk: ",MID(INDEX('sk C,D - Ženy'!$C$1:'sk C,D - Ženy'!$C$17,MOD(TRUNC((COLUMN()-1)/7),2 )*15+2,1),LEN("skupina ")+1,1))</f>
        <v>Sk: C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C,D - Ženy'!$AE$1</f>
        <v>45773</v>
      </c>
      <c r="E51" s="62"/>
      <c r="F51" s="89" t="str">
        <f>CONCATENATE("stůl č. ",zápis!I47)</f>
        <v xml:space="preserve">stůl č. </v>
      </c>
      <c r="H51" s="88" t="str">
        <f>CONCATENATE("Sk: ",MID(INDEX('sk C,D - Ženy'!$C$1:'sk C,D - Ženy'!$C$17,MOD(TRUNC((COLUMN()-1)/7),2 )*15+2,1),LEN("skupina ")+1,1))</f>
        <v>Sk: D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C,D - Ženy'!$AE$1</f>
        <v>45773</v>
      </c>
      <c r="L51" s="62"/>
      <c r="M51" s="89" t="str">
        <f>CONCATENATE("stůl č. ",zápis!I50)</f>
        <v xml:space="preserve">stůl č. </v>
      </c>
    </row>
    <row r="52" spans="1:13" ht="36" customHeight="1" thickBot="1">
      <c r="A52" s="214" t="str">
        <f>CONCATENATE(IF(COUNTIF(seznam!$A$2:$A$25, INDEX('sk C,D - Ženy'!$AP$1:$AP$37,$C51,1) )=1,VLOOKUP(INDEX('sk C,D - Ženy'!$AP$1:$AP$37,$C51,1),seznam!$A$2:$C$25,2,FALSE),"------"),"   (",IF(COUNTIF(seznam!$A$2:$A$25, INDEX('sk C,D - Ženy'!$AP$1:$AP$37,$C51,1) )=1,VLOOKUP( INDEX('sk C,D - Ženy'!$AP$1:$AP$37,$C51,1),seznam!$A$2:$C$25,3,FALSE),"------"),")")</f>
        <v>Žilková Elen   (Prace)</v>
      </c>
      <c r="B52" s="215"/>
      <c r="C52" s="215"/>
      <c r="D52" s="214" t="str">
        <f>CONCATENATE(IF(COUNTIF(seznam!$A$2:$A$25, INDEX('sk C,D - Ženy'!$AQ$1:$AQ$37,$C51,1) )=1,VLOOKUP( INDEX('sk C,D - Ženy'!$AQ$1:$AQ$37,$C51,1),seznam!$A$2:$C$25,2,FALSE),"------"),"   (",IF(COUNTIF(seznam!$A$2:$A$25, INDEX('sk C,D - Ženy'!$AQ$1:$AQ$37,$C51,1) )=1,VLOOKUP( INDEX('sk C,D - Ženy'!$AQ$1:$AQ$37,$C51,1),seznam!$A$2:$C$25,3,FALSE),"------"),")")</f>
        <v>Solfronková Ema   (MS Brno)</v>
      </c>
      <c r="E52" s="215"/>
      <c r="F52" s="216"/>
      <c r="H52" s="214" t="str">
        <f>CONCATENATE(IF(COUNTIF(seznam!$A$2:$A$25, INDEX('sk C,D - Ženy'!$AP$1:$AP$37,$J51,1) )=1,VLOOKUP(INDEX('sk C,D - Ženy'!$AP$1:$AP$37,$J51,1),seznam!$A$2:$C$25,2,FALSE),"------"),"   (",IF(COUNTIF(seznam!$A$2:$A$25, INDEX('sk C,D - Ženy'!$AP$1:$AP$37,$J51,1) )=1,VLOOKUP( INDEX('sk C,D - Ženy'!$AP$1:$AP$37,$J51,1),seznam!$A$2:$C$25,3,FALSE),"------"),")")</f>
        <v>Maradová Eliška   (MS Brno)</v>
      </c>
      <c r="I52" s="215"/>
      <c r="J52" s="215"/>
      <c r="K52" s="214" t="str">
        <f>CONCATENATE(IF(COUNTIF(seznam!$A$2:$A$25, INDEX('sk C,D - Ženy'!$AQ$1:$AQ$37,$J51,1) )=1,VLOOKUP( INDEX('sk C,D - Ženy'!$AQ$1:$AQ$37,$J51,1),seznam!$A$2:$C$25,2,FALSE),"------"),"   (",IF(COUNTIF(seznam!$A$2:$A$25, INDEX('sk C,D - Ženy'!$AQ$1:$AQ$37,$J51,1) )=1,VLOOKUP( INDEX('sk C,D - Ženy'!$AQ$1:$AQ$37,$J51,1),seznam!$A$2:$C$25,3,FALSE),"------"),")")</f>
        <v>Pilitowská Ela   (KST Blansko)</v>
      </c>
      <c r="L52" s="215"/>
      <c r="M52" s="216"/>
    </row>
    <row r="53" spans="1:13" ht="14.25" customHeight="1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>
      <c r="A55" s="217" t="str">
        <f>CONCATENATE("Rozhodčí: ",IFERROR(VLOOKUP('sk C,D - Ženy'!$AS$18,seznam!$A$2:$C$25,2),""))</f>
        <v>Rozhodčí: Klašková Alžběta</v>
      </c>
      <c r="B55" s="206"/>
      <c r="C55" s="218"/>
      <c r="D55" s="205" t="s">
        <v>30</v>
      </c>
      <c r="E55" s="206"/>
      <c r="F55" s="207"/>
      <c r="H55" s="217" t="str">
        <f>CONCATENATE("Rozhodčí: ",IFERROR(VLOOKUP('sk C,D - Ženy'!$AS$21,seznam!$A$2:$C$25,2),""))</f>
        <v>Rozhodčí: Straková Adéla</v>
      </c>
      <c r="I55" s="206"/>
      <c r="J55" s="218"/>
      <c r="K55" s="205" t="s">
        <v>30</v>
      </c>
      <c r="L55" s="206"/>
      <c r="M55" s="207"/>
    </row>
    <row r="56" spans="1:13" ht="18" customHeight="1" thickBot="1"/>
    <row r="57" spans="1:13" ht="36" customHeight="1">
      <c r="A57" s="208" t="str">
        <f>'sk C,D - Ženy'!$C$1</f>
        <v>Žebříčkový turnaj - U11 Ž - I.stupeň</v>
      </c>
      <c r="B57" s="209"/>
      <c r="C57" s="209"/>
      <c r="D57" s="209"/>
      <c r="E57" s="209"/>
      <c r="F57" s="210"/>
      <c r="H57" s="208" t="str">
        <f>'sk C,D - Ženy'!$C$1</f>
        <v>Žebříčkový turnaj - U11 Ž - I.stupeň</v>
      </c>
      <c r="I57" s="209"/>
      <c r="J57" s="209"/>
      <c r="K57" s="209"/>
      <c r="L57" s="209"/>
      <c r="M57" s="210"/>
    </row>
    <row r="58" spans="1:13" ht="36" customHeight="1" thickBot="1">
      <c r="A58" s="88" t="str">
        <f>CONCATENATE("Sk: ",MID(INDEX('sk C,D - Ženy'!$C$1:'sk C,D - Ženy'!$C$17,MOD(TRUNC((COLUMN()-1)/7),2 )*15+2,1),LEN("skupina ")+1,1))</f>
        <v>Sk: C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C,D - Ženy'!$AE$1</f>
        <v>45773</v>
      </c>
      <c r="E58" s="62"/>
      <c r="F58" s="89" t="str">
        <f>CONCATENATE("stůl č. ",zápis!I48)</f>
        <v xml:space="preserve">stůl č. </v>
      </c>
      <c r="H58" s="88" t="str">
        <f>CONCATENATE("Sk: ",MID(INDEX('sk C,D - Ženy'!$C$1:'sk C,D - Ženy'!$C$17,MOD(TRUNC((COLUMN()-1)/7),2 )*15+2,1),LEN("skupina ")+1,1))</f>
        <v>Sk: D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C,D - Ženy'!$AE$1</f>
        <v>45773</v>
      </c>
      <c r="L58" s="62"/>
      <c r="M58" s="89" t="str">
        <f>CONCATENATE("stůl č. ",zápis!I51)</f>
        <v xml:space="preserve">stůl č. </v>
      </c>
    </row>
    <row r="59" spans="1:13" ht="36" customHeight="1" thickBot="1">
      <c r="A59" s="214" t="str">
        <f>CONCATENATE(IF(COUNTIF(seznam!$A$2:$A$25, INDEX('sk C,D - Ženy'!$AP$1:$AP$37,$C58,1) )=1,VLOOKUP(INDEX('sk C,D - Ženy'!$AP$1:$AP$37,$C58,1),seznam!$A$2:$C$25,2,FALSE),"------"),"   (",IF(COUNTIF(seznam!$A$2:$A$25, INDEX('sk C,D - Ženy'!$AP$1:$AP$37,$C58,1) )=1,VLOOKUP( INDEX('sk C,D - Ženy'!$AP$1:$AP$37,$C58,1),seznam!$A$2:$C$25,3,FALSE),"------"),")")</f>
        <v>Křepelová Kamila   (STK Zbraslavec)</v>
      </c>
      <c r="B59" s="215"/>
      <c r="C59" s="215"/>
      <c r="D59" s="214" t="str">
        <f>CONCATENATE(IF(COUNTIF(seznam!$A$2:$A$25, INDEX('sk C,D - Ženy'!$AQ$1:$AQ$37,$C58,1) )=1,VLOOKUP( INDEX('sk C,D - Ženy'!$AQ$1:$AQ$37,$C58,1),seznam!$A$2:$C$25,2,FALSE),"------"),"   (",IF(COUNTIF(seznam!$A$2:$A$25, INDEX('sk C,D - Ženy'!$AQ$1:$AQ$37,$C58,1) )=1,VLOOKUP( INDEX('sk C,D - Ženy'!$AQ$1:$AQ$37,$C58,1),seznam!$A$2:$C$25,3,FALSE),"------"),")")</f>
        <v>Klašková Alžběta   (KST FOSFA LVA)</v>
      </c>
      <c r="E59" s="215"/>
      <c r="F59" s="216"/>
      <c r="H59" s="214" t="str">
        <f>CONCATENATE(IF(COUNTIF(seznam!$A$2:$A$25, INDEX('sk C,D - Ženy'!$AP$1:$AP$37,$J58,1) )=1,VLOOKUP(INDEX('sk C,D - Ženy'!$AP$1:$AP$37,$J58,1),seznam!$A$2:$C$25,2,FALSE),"------"),"   (",IF(COUNTIF(seznam!$A$2:$A$25, INDEX('sk C,D - Ženy'!$AP$1:$AP$37,$J58,1) )=1,VLOOKUP( INDEX('sk C,D - Ženy'!$AP$1:$AP$37,$J58,1),seznam!$A$2:$C$25,3,FALSE),"------"),")")</f>
        <v>Hasoňová Jana   (SKST Hodonín)</v>
      </c>
      <c r="I59" s="215"/>
      <c r="J59" s="215"/>
      <c r="K59" s="214" t="str">
        <f>CONCATENATE(IF(COUNTIF(seznam!$A$2:$A$25, INDEX('sk C,D - Ženy'!$AQ$1:$AQ$37,$J58,1) )=1,VLOOKUP( INDEX('sk C,D - Ženy'!$AQ$1:$AQ$37,$J58,1),seznam!$A$2:$C$25,2,FALSE),"------"),"   (",IF(COUNTIF(seznam!$A$2:$A$25, INDEX('sk C,D - Ženy'!$AQ$1:$AQ$37,$J58,1) )=1,VLOOKUP( INDEX('sk C,D - Ženy'!$AQ$1:$AQ$37,$J58,1),seznam!$A$2:$C$25,3,FALSE),"------"),")")</f>
        <v>Straková Adéla   (Vlast Ježov)</v>
      </c>
      <c r="L59" s="215"/>
      <c r="M59" s="216"/>
    </row>
    <row r="60" spans="1:13" ht="14.25" customHeight="1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>
      <c r="A62" s="217" t="str">
        <f>CONCATENATE("Rozhodčí: ",IFERROR(VLOOKUP('sk C,D - Ženy'!$AS$19,seznam!$A$2:$C$25,2),""))</f>
        <v>Rozhodčí: Svobodová Kristýna</v>
      </c>
      <c r="B62" s="206"/>
      <c r="C62" s="218"/>
      <c r="D62" s="205" t="s">
        <v>30</v>
      </c>
      <c r="E62" s="206"/>
      <c r="F62" s="207"/>
      <c r="H62" s="217" t="str">
        <f>CONCATENATE("Rozhodčí: ",IFERROR(VLOOKUP('sk C,D - Ženy'!$AS$22,seznam!$A$2:$C$25,2),""))</f>
        <v>Rozhodčí: Krupková Klaudie</v>
      </c>
      <c r="I62" s="206"/>
      <c r="J62" s="218"/>
      <c r="K62" s="205" t="s">
        <v>30</v>
      </c>
      <c r="L62" s="206"/>
      <c r="M62" s="207"/>
    </row>
    <row r="63" spans="1:13" ht="18" customHeight="1" thickBot="1"/>
    <row r="64" spans="1:13" ht="36" customHeight="1">
      <c r="A64" s="208" t="str">
        <f>'sk C,D - Ženy'!$C$1</f>
        <v>Žebříčkový turnaj - U11 Ž - I.stupeň</v>
      </c>
      <c r="B64" s="209"/>
      <c r="C64" s="209"/>
      <c r="D64" s="209"/>
      <c r="E64" s="209"/>
      <c r="F64" s="210"/>
      <c r="H64" s="208" t="str">
        <f>'sk C,D - Ženy'!$C$1</f>
        <v>Žebříčkový turnaj - U11 Ž - I.stupeň</v>
      </c>
      <c r="I64" s="209"/>
      <c r="J64" s="209"/>
      <c r="K64" s="209"/>
      <c r="L64" s="209"/>
      <c r="M64" s="210"/>
    </row>
    <row r="65" spans="1:13" ht="36" customHeight="1" thickBot="1">
      <c r="A65" s="88" t="str">
        <f>CONCATENATE("Sk: ",MID(INDEX('sk C,D - Ženy'!$C$1:'sk C,D - Ženy'!$C$17,MOD(TRUNC((COLUMN()-1)/7),2 )*15+2,1),LEN("skupina ")+1,1))</f>
        <v>Sk: C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C,D - Ženy'!$AE$1</f>
        <v>45773</v>
      </c>
      <c r="E65" s="93"/>
      <c r="F65" s="89" t="str">
        <f>CONCATENATE("stůl č. ",zápis!I67)</f>
        <v xml:space="preserve">stůl č. </v>
      </c>
      <c r="H65" s="88" t="str">
        <f>CONCATENATE("Sk: ",MID(INDEX('sk C,D - Ženy'!$C$1:'sk C,D - Ženy'!$C$17,MOD(TRUNC((COLUMN()-1)/7),2 )*15+2,1),LEN("skupina ")+1,1))</f>
        <v>Sk: D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C,D - Ženy'!$AE$1</f>
        <v>45773</v>
      </c>
      <c r="L65" s="62"/>
      <c r="M65" s="89" t="str">
        <f>CONCATENATE("stůl č. ",zápis!I70)</f>
        <v xml:space="preserve">stůl č. </v>
      </c>
    </row>
    <row r="66" spans="1:13" ht="36" customHeight="1" thickBot="1">
      <c r="A66" s="214" t="str">
        <f>CONCATENATE(IF(COUNTIF(seznam!$A$2:$A$25, INDEX('sk C,D - Ženy'!$AP$1:$AP$37,$C65,1) )=1,VLOOKUP(INDEX('sk C,D - Ženy'!$AP$1:$AP$37,$C65,1),seznam!$A$2:$C$25,2,FALSE),"------"),"   (",IF(COUNTIF(seznam!$A$2:$A$25, INDEX('sk C,D - Ženy'!$AP$1:$AP$37,$C65,1) )=1,VLOOKUP( INDEX('sk C,D - Ženy'!$AP$1:$AP$37,$C65,1),seznam!$A$2:$C$25,3,FALSE),"------"),")")</f>
        <v>Zouharová Beáta   (KST Blansko)</v>
      </c>
      <c r="B66" s="215"/>
      <c r="C66" s="215"/>
      <c r="D66" s="214" t="str">
        <f>CONCATENATE(IF(COUNTIF(seznam!$A$2:$A$25, INDEX('sk C,D - Ženy'!$AQ$1:$AQ$37,$C65,1) )=1,VLOOKUP( INDEX('sk C,D - Ženy'!$AQ$1:$AQ$37,$C65,1),seznam!$A$2:$C$25,2,FALSE),"------"),"   (",IF(COUNTIF(seznam!$A$2:$A$25, INDEX('sk C,D - Ženy'!$AQ$1:$AQ$37,$C65,1) )=1,VLOOKUP( INDEX('sk C,D - Ženy'!$AQ$1:$AQ$37,$C65,1),seznam!$A$2:$C$25,3,FALSE),"------"),")")</f>
        <v>Klašková Alžběta   (KST FOSFA LVA)</v>
      </c>
      <c r="E66" s="215"/>
      <c r="F66" s="216"/>
      <c r="H66" s="214" t="str">
        <f>CONCATENATE(IF(COUNTIF(seznam!$A$2:$A$25, INDEX('sk C,D - Ženy'!$AP$1:$AP$37,$J65,1) )=1,VLOOKUP(INDEX('sk C,D - Ženy'!$AP$1:$AP$37,$J65,1),seznam!$A$2:$C$25,2,FALSE),"------"),"   (",IF(COUNTIF(seznam!$A$2:$A$25, INDEX('sk C,D - Ženy'!$AP$1:$AP$37,$J65,1) )=1,VLOOKUP( INDEX('sk C,D - Ženy'!$AP$1:$AP$37,$J65,1),seznam!$A$2:$C$25,3,FALSE),"------"),")")</f>
        <v>Jonášová Kristýna   (STK Zbraslavec)</v>
      </c>
      <c r="I66" s="215"/>
      <c r="J66" s="215"/>
      <c r="K66" s="214" t="str">
        <f>CONCATENATE(IF(COUNTIF(seznam!$A$2:$A$25, INDEX('sk C,D - Ženy'!$AQ$1:$AQ$37,$J65,1) )=1,VLOOKUP( INDEX('sk C,D - Ženy'!$AQ$1:$AQ$37,$J65,1),seznam!$A$2:$C$25,2,FALSE),"------"),"   (",IF(COUNTIF(seznam!$A$2:$A$25, INDEX('sk C,D - Ženy'!$AQ$1:$AQ$37,$J65,1) )=1,VLOOKUP( INDEX('sk C,D - Ženy'!$AQ$1:$AQ$37,$J65,1),seznam!$A$2:$C$25,3,FALSE),"------"),")")</f>
        <v>Straková Adéla   (Vlast Ježov)</v>
      </c>
      <c r="L66" s="215"/>
      <c r="M66" s="216"/>
    </row>
    <row r="67" spans="1:13" ht="14.25" customHeight="1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>
      <c r="A69" s="217" t="str">
        <f>CONCATENATE("Rozhodčí: ",IFERROR(VLOOKUP('sk C,D - Ženy'!$AS$24,seznam!$A$2:$C$25,2),""))</f>
        <v>Rozhodčí: Žilková Elen</v>
      </c>
      <c r="B69" s="206"/>
      <c r="C69" s="218"/>
      <c r="D69" s="205" t="s">
        <v>30</v>
      </c>
      <c r="E69" s="206"/>
      <c r="F69" s="207"/>
      <c r="H69" s="217" t="str">
        <f>CONCATENATE("Rozhodčí: ",IFERROR(VLOOKUP('sk C,D - Ženy'!$AS$27,seznam!$A$2:$C$25,2),""))</f>
        <v>Rozhodčí: Maradová Eliška</v>
      </c>
      <c r="I69" s="206"/>
      <c r="J69" s="218"/>
      <c r="K69" s="205" t="s">
        <v>30</v>
      </c>
      <c r="L69" s="206"/>
      <c r="M69" s="207"/>
    </row>
    <row r="70" spans="1:13" ht="18" customHeight="1" thickBot="1"/>
    <row r="71" spans="1:13" ht="36" customHeight="1">
      <c r="A71" s="208" t="str">
        <f>'sk C,D - Ženy'!$C$1</f>
        <v>Žebříčkový turnaj - U11 Ž - I.stupeň</v>
      </c>
      <c r="B71" s="209"/>
      <c r="C71" s="209"/>
      <c r="D71" s="209"/>
      <c r="E71" s="209"/>
      <c r="F71" s="210"/>
      <c r="H71" s="208" t="str">
        <f>'sk C,D - Ženy'!$C$1</f>
        <v>Žebříčkový turnaj - U11 Ž - I.stupeň</v>
      </c>
      <c r="I71" s="209"/>
      <c r="J71" s="209"/>
      <c r="K71" s="209"/>
      <c r="L71" s="209"/>
      <c r="M71" s="210"/>
    </row>
    <row r="72" spans="1:13" ht="36" customHeight="1" thickBot="1">
      <c r="A72" s="88" t="str">
        <f>CONCATENATE("Sk: ",MID(INDEX('sk C,D - Ženy'!$C$1:'sk C,D - Ženy'!$C$17,MOD(TRUNC((COLUMN()-1)/7),2 )*15+2,1),LEN("skupina ")+1,1))</f>
        <v>Sk: C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C,D - Ženy'!$AE$1</f>
        <v>45773</v>
      </c>
      <c r="E72" s="62"/>
      <c r="F72" s="89" t="str">
        <f>CONCATENATE("stůl č. ",zápis!I68)</f>
        <v xml:space="preserve">stůl č. </v>
      </c>
      <c r="H72" s="88" t="str">
        <f>CONCATENATE("Sk: ",MID(INDEX('sk C,D - Ženy'!$C$1:'sk C,D - Ženy'!$C$17,MOD(TRUNC((COLUMN()-1)/7),2 )*15+2,1),LEN("skupina ")+1,1))</f>
        <v>Sk: D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C,D - Ženy'!$AE$1</f>
        <v>45773</v>
      </c>
      <c r="L72" s="62"/>
      <c r="M72" s="89" t="str">
        <f>CONCATENATE("stůl č. ",zápis!I71)</f>
        <v xml:space="preserve">stůl č. </v>
      </c>
    </row>
    <row r="73" spans="1:13" ht="36" customHeight="1" thickBot="1">
      <c r="A73" s="214" t="str">
        <f>CONCATENATE(IF(COUNTIF(seznam!$A$2:$A$25, INDEX('sk C,D - Ženy'!$AP$1:$AP$37,$C72,1) )=1,VLOOKUP(INDEX('sk C,D - Ženy'!$AP$1:$AP$37,$C72,1),seznam!$A$2:$C$25,2,FALSE),"------"),"   (",IF(COUNTIF(seznam!$A$2:$A$25, INDEX('sk C,D - Ženy'!$AP$1:$AP$37,$C72,1) )=1,VLOOKUP( INDEX('sk C,D - Ženy'!$AP$1:$AP$37,$C72,1),seznam!$A$2:$C$25,3,FALSE),"------"),")")</f>
        <v>Solfronková Ema   (MS Brno)</v>
      </c>
      <c r="B73" s="215"/>
      <c r="C73" s="215"/>
      <c r="D73" s="214" t="str">
        <f>CONCATENATE(IF(COUNTIF(seznam!$A$2:$A$25, INDEX('sk C,D - Ženy'!$AQ$1:$AQ$37,$C72,1) )=1,VLOOKUP( INDEX('sk C,D - Ženy'!$AQ$1:$AQ$37,$C72,1),seznam!$A$2:$C$25,2,FALSE),"------"),"   (",IF(COUNTIF(seznam!$A$2:$A$25, INDEX('sk C,D - Ženy'!$AQ$1:$AQ$37,$C72,1) )=1,VLOOKUP( INDEX('sk C,D - Ženy'!$AQ$1:$AQ$37,$C72,1),seznam!$A$2:$C$25,3,FALSE),"------"),")")</f>
        <v>Křepelová Kamila   (STK Zbraslavec)</v>
      </c>
      <c r="E73" s="215"/>
      <c r="F73" s="216"/>
      <c r="H73" s="214" t="str">
        <f>CONCATENATE(IF(COUNTIF(seznam!$A$2:$A$25, INDEX('sk C,D - Ženy'!$AP$1:$AP$37,$J72,1) )=1,VLOOKUP(INDEX('sk C,D - Ženy'!$AP$1:$AP$37,$J72,1),seznam!$A$2:$C$25,2,FALSE),"------"),"   (",IF(COUNTIF(seznam!$A$2:$A$25, INDEX('sk C,D - Ženy'!$AP$1:$AP$37,$J72,1) )=1,VLOOKUP( INDEX('sk C,D - Ženy'!$AP$1:$AP$37,$J72,1),seznam!$A$2:$C$25,3,FALSE),"------"),")")</f>
        <v>Pilitowská Ela   (KST Blansko)</v>
      </c>
      <c r="I73" s="215"/>
      <c r="J73" s="215"/>
      <c r="K73" s="214" t="str">
        <f>CONCATENATE(IF(COUNTIF(seznam!$A$2:$A$25, INDEX('sk C,D - Ženy'!$AQ$1:$AQ$37,$J72,1) )=1,VLOOKUP( INDEX('sk C,D - Ženy'!$AQ$1:$AQ$37,$J72,1),seznam!$A$2:$C$25,2,FALSE),"------"),"   (",IF(COUNTIF(seznam!$A$2:$A$25, INDEX('sk C,D - Ženy'!$AQ$1:$AQ$37,$J72,1) )=1,VLOOKUP( INDEX('sk C,D - Ženy'!$AQ$1:$AQ$37,$J72,1),seznam!$A$2:$C$25,3,FALSE),"------"),")")</f>
        <v>Hasoňová Jana   (SKST Hodonín)</v>
      </c>
      <c r="L73" s="215"/>
      <c r="M73" s="216"/>
    </row>
    <row r="74" spans="1:13" ht="14.25" customHeight="1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>
      <c r="A76" s="217" t="str">
        <f>CONCATENATE("Rozhodčí: ",IFERROR(VLOOKUP('sk C,D - Ženy'!$AS$25,seznam!$A$2:$C$25,2),""))</f>
        <v>Rozhodčí: Zouharová Beáta</v>
      </c>
      <c r="B76" s="206"/>
      <c r="C76" s="218"/>
      <c r="D76" s="205" t="s">
        <v>30</v>
      </c>
      <c r="E76" s="206"/>
      <c r="F76" s="207"/>
      <c r="H76" s="217" t="str">
        <f>CONCATENATE("Rozhodčí: ",IFERROR(VLOOKUP('sk C,D - Ženy'!$AS$28,seznam!$A$2:$C$25,2),""))</f>
        <v>Rozhodčí: Jonášová Kristýna</v>
      </c>
      <c r="I76" s="206"/>
      <c r="J76" s="218"/>
      <c r="K76" s="205" t="s">
        <v>30</v>
      </c>
      <c r="L76" s="206"/>
      <c r="M76" s="207"/>
    </row>
    <row r="77" spans="1:13" ht="18" customHeight="1" thickBot="1"/>
    <row r="78" spans="1:13" ht="36" customHeight="1">
      <c r="A78" s="208" t="str">
        <f>'sk C,D - Ženy'!$C$1</f>
        <v>Žebříčkový turnaj - U11 Ž - I.stupeň</v>
      </c>
      <c r="B78" s="209"/>
      <c r="C78" s="209"/>
      <c r="D78" s="209"/>
      <c r="E78" s="209"/>
      <c r="F78" s="210"/>
      <c r="H78" s="208" t="str">
        <f>'sk C,D - Ženy'!$C$1</f>
        <v>Žebříčkový turnaj - U11 Ž - I.stupeň</v>
      </c>
      <c r="I78" s="209"/>
      <c r="J78" s="209"/>
      <c r="K78" s="209"/>
      <c r="L78" s="209"/>
      <c r="M78" s="210"/>
    </row>
    <row r="79" spans="1:13" ht="36" customHeight="1" thickBot="1">
      <c r="A79" s="88" t="str">
        <f>CONCATENATE("Sk: ",MID(INDEX('sk C,D - Ženy'!$C$1:'sk C,D - Ženy'!$C$17,MOD(TRUNC((COLUMN()-1)/7),2 )*15+2,1),LEN("skupina ")+1,1))</f>
        <v>Sk: C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C,D - Ženy'!$AE$1</f>
        <v>45773</v>
      </c>
      <c r="E79" s="62"/>
      <c r="F79" s="89" t="str">
        <f>CONCATENATE("stůl č. ",zápis!I69)</f>
        <v xml:space="preserve">stůl č. </v>
      </c>
      <c r="H79" s="88" t="str">
        <f>CONCATENATE("Sk: ",MID(INDEX('sk C,D - Ženy'!$C$1:'sk C,D - Ženy'!$C$17,MOD(TRUNC((COLUMN()-1)/7),2 )*15+2,1),LEN("skupina ")+1,1))</f>
        <v>Sk: D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C,D - Ženy'!$AE$1</f>
        <v>45773</v>
      </c>
      <c r="L79" s="62"/>
      <c r="M79" s="89" t="str">
        <f>CONCATENATE("stůl č. ",zápis!I72)</f>
        <v xml:space="preserve">stůl č. </v>
      </c>
    </row>
    <row r="80" spans="1:13" ht="36" customHeight="1" thickBot="1">
      <c r="A80" s="214" t="str">
        <f>CONCATENATE(IF(COUNTIF(seznam!$A$2:$A$25, INDEX('sk C,D - Ženy'!$AP$1:$AP$37,$C79,1) )=1,VLOOKUP(INDEX('sk C,D - Ženy'!$AP$1:$AP$37,$C79,1),seznam!$A$2:$C$25,2,FALSE),"------"),"   (",IF(COUNTIF(seznam!$A$2:$A$25, INDEX('sk C,D - Ženy'!$AP$1:$AP$37,$C79,1) )=1,VLOOKUP( INDEX('sk C,D - Ženy'!$AP$1:$AP$37,$C79,1),seznam!$A$2:$C$25,3,FALSE),"------"),")")</f>
        <v>Svobodová Kristýna   (Jiskra Strážnice)</v>
      </c>
      <c r="B80" s="215"/>
      <c r="C80" s="215"/>
      <c r="D80" s="214" t="str">
        <f>CONCATENATE(IF(COUNTIF(seznam!$A$2:$A$25, INDEX('sk C,D - Ženy'!$AQ$1:$AQ$37,$C79,1) )=1,VLOOKUP( INDEX('sk C,D - Ženy'!$AQ$1:$AQ$37,$C79,1),seznam!$A$2:$C$25,2,FALSE),"------"),"   (",IF(COUNTIF(seznam!$A$2:$A$25, INDEX('sk C,D - Ženy'!$AQ$1:$AQ$37,$C79,1) )=1,VLOOKUP( INDEX('sk C,D - Ženy'!$AQ$1:$AQ$37,$C79,1),seznam!$A$2:$C$25,3,FALSE),"------"),")")</f>
        <v>Žilková Elen   (Prace)</v>
      </c>
      <c r="E80" s="215"/>
      <c r="F80" s="216"/>
      <c r="H80" s="214" t="str">
        <f>CONCATENATE(IF(COUNTIF(seznam!$A$2:$A$25, INDEX('sk C,D - Ženy'!$AP$1:$AP$37,$J79,1) )=1,VLOOKUP(INDEX('sk C,D - Ženy'!$AP$1:$AP$37,$J79,1),seznam!$A$2:$C$25,2,FALSE),"------"),"   (",IF(COUNTIF(seznam!$A$2:$A$25, INDEX('sk C,D - Ženy'!$AP$1:$AP$37,$J79,1) )=1,VLOOKUP( INDEX('sk C,D - Ženy'!$AP$1:$AP$37,$J79,1),seznam!$A$2:$C$25,3,FALSE),"------"),")")</f>
        <v>Krupková Klaudie   (KST Blansko)</v>
      </c>
      <c r="I80" s="215"/>
      <c r="J80" s="215"/>
      <c r="K80" s="214" t="str">
        <f>CONCATENATE(IF(COUNTIF(seznam!$A$2:$A$25, INDEX('sk C,D - Ženy'!$AQ$1:$AQ$37,$J79,1) )=1,VLOOKUP( INDEX('sk C,D - Ženy'!$AQ$1:$AQ$37,$J79,1),seznam!$A$2:$C$25,2,FALSE),"------"),"   (",IF(COUNTIF(seznam!$A$2:$A$25, INDEX('sk C,D - Ženy'!$AQ$1:$AQ$37,$J79,1) )=1,VLOOKUP( INDEX('sk C,D - Ženy'!$AQ$1:$AQ$37,$J79,1),seznam!$A$2:$C$25,3,FALSE),"------"),")")</f>
        <v>Maradová Eliška   (MS Brno)</v>
      </c>
      <c r="L80" s="215"/>
      <c r="M80" s="216"/>
    </row>
    <row r="81" spans="1:13" ht="14.25" customHeight="1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>
      <c r="A83" s="217" t="str">
        <f>CONCATENATE("Rozhodčí: ",IFERROR(VLOOKUP('sk C,D - Ženy'!$AS$26,seznam!$A$2:$C$25,2),""))</f>
        <v>Rozhodčí: Solfronková Ema</v>
      </c>
      <c r="B83" s="206"/>
      <c r="C83" s="218"/>
      <c r="D83" s="205" t="s">
        <v>30</v>
      </c>
      <c r="E83" s="206"/>
      <c r="F83" s="207"/>
      <c r="H83" s="217" t="str">
        <f>CONCATENATE("Rozhodčí: ",IFERROR(VLOOKUP('sk C,D - Ženy'!$AS$29,seznam!$A$2:$C$25,2),""))</f>
        <v>Rozhodčí: Pilitowská Ela</v>
      </c>
      <c r="I83" s="206"/>
      <c r="J83" s="218"/>
      <c r="K83" s="205" t="s">
        <v>30</v>
      </c>
      <c r="L83" s="206"/>
      <c r="M83" s="207"/>
    </row>
    <row r="84" spans="1:13" ht="18" customHeight="1" thickBot="1"/>
    <row r="85" spans="1:13" ht="36" customHeight="1">
      <c r="A85" s="208" t="str">
        <f>'sk C,D - Ženy'!$C$1</f>
        <v>Žebříčkový turnaj - U11 Ž - I.stupeň</v>
      </c>
      <c r="B85" s="209"/>
      <c r="C85" s="209"/>
      <c r="D85" s="209"/>
      <c r="E85" s="209"/>
      <c r="F85" s="210"/>
      <c r="H85" s="208" t="str">
        <f>'sk C,D - Ženy'!$C$1</f>
        <v>Žebříčkový turnaj - U11 Ž - I.stupeň</v>
      </c>
      <c r="I85" s="209"/>
      <c r="J85" s="209"/>
      <c r="K85" s="209"/>
      <c r="L85" s="209"/>
      <c r="M85" s="210"/>
    </row>
    <row r="86" spans="1:13" ht="36" customHeight="1" thickBot="1">
      <c r="A86" s="88" t="str">
        <f>CONCATENATE("Sk: ",MID(INDEX('sk C,D - Ženy'!$C$1:'sk C,D - Ženy'!$C$17,MOD(TRUNC((COLUMN()-1)/7),2 )*15+2,1),LEN("skupina ")+1,1))</f>
        <v>Sk: C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C,D - Ženy'!$AE$1</f>
        <v>45773</v>
      </c>
      <c r="E86" s="93"/>
      <c r="F86" s="89" t="str">
        <f>CONCATENATE("stůl č. ",zápis!I87)</f>
        <v xml:space="preserve">stůl č. </v>
      </c>
      <c r="H86" s="88" t="str">
        <f>CONCATENATE("Sk: ",MID(INDEX('sk C,D - Ženy'!$C$1:'sk C,D - Ženy'!$C$17,MOD(TRUNC((COLUMN()-1)/7),2 )*15+2,1),LEN("skupina ")+1,1))</f>
        <v>Sk: D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C,D - Ženy'!$AE$1</f>
        <v>45773</v>
      </c>
      <c r="L86" s="62"/>
      <c r="M86" s="89" t="str">
        <f>CONCATENATE("stůl č. ",zápis!I90)</f>
        <v xml:space="preserve">stůl č. </v>
      </c>
    </row>
    <row r="87" spans="1:13" ht="36" customHeight="1" thickBot="1">
      <c r="A87" s="214" t="str">
        <f>CONCATENATE(IF(COUNTIF(seznam!$A$2:$A$25, INDEX('sk C,D - Ženy'!$AP$1:$AP$37,$C86,1) )=1,VLOOKUP(INDEX('sk C,D - Ženy'!$AP$1:$AP$37,$C86,1),seznam!$A$2:$C$25,2,FALSE),"------"),"   (",IF(COUNTIF(seznam!$A$2:$A$25, INDEX('sk C,D - Ženy'!$AP$1:$AP$37,$C86,1) )=1,VLOOKUP( INDEX('sk C,D - Ženy'!$AP$1:$AP$37,$C86,1),seznam!$A$2:$C$25,3,FALSE),"------"),")")</f>
        <v>Žilková Elen   (Prace)</v>
      </c>
      <c r="B87" s="215"/>
      <c r="C87" s="215"/>
      <c r="D87" s="214" t="str">
        <f>CONCATENATE(IF(COUNTIF(seznam!$A$2:$A$25, INDEX('sk C,D - Ženy'!$AQ$1:$AQ$37,$C86,1) )=1,VLOOKUP( INDEX('sk C,D - Ženy'!$AQ$1:$AQ$37,$C86,1),seznam!$A$2:$C$25,2,FALSE),"------"),"   (",IF(COUNTIF(seznam!$A$2:$A$25, INDEX('sk C,D - Ženy'!$AQ$1:$AQ$37,$C86,1) )=1,VLOOKUP( INDEX('sk C,D - Ženy'!$AQ$1:$AQ$37,$C86,1),seznam!$A$2:$C$25,3,FALSE),"------"),")")</f>
        <v>Zouharová Beáta   (KST Blansko)</v>
      </c>
      <c r="E87" s="215"/>
      <c r="F87" s="216"/>
      <c r="H87" s="214" t="str">
        <f>CONCATENATE(IF(COUNTIF(seznam!$A$2:$A$25, INDEX('sk C,D - Ženy'!$AP$1:$AP$37,$J86,1) )=1,VLOOKUP(INDEX('sk C,D - Ženy'!$AP$1:$AP$37,$J86,1),seznam!$A$2:$C$25,2,FALSE),"------"),"   (",IF(COUNTIF(seznam!$A$2:$A$25, INDEX('sk C,D - Ženy'!$AP$1:$AP$37,$J86,1) )=1,VLOOKUP( INDEX('sk C,D - Ženy'!$AP$1:$AP$37,$J86,1),seznam!$A$2:$C$25,3,FALSE),"------"),")")</f>
        <v>Maradová Eliška   (MS Brno)</v>
      </c>
      <c r="I87" s="215"/>
      <c r="J87" s="215"/>
      <c r="K87" s="214" t="str">
        <f>CONCATENATE(IF(COUNTIF(seznam!$A$2:$A$25, INDEX('sk C,D - Ženy'!$AQ$1:$AQ$37,$J86,1) )=1,VLOOKUP( INDEX('sk C,D - Ženy'!$AQ$1:$AQ$37,$J86,1),seznam!$A$2:$C$25,2,FALSE),"------"),"   (",IF(COUNTIF(seznam!$A$2:$A$25, INDEX('sk C,D - Ženy'!$AQ$1:$AQ$37,$J86,1) )=1,VLOOKUP( INDEX('sk C,D - Ženy'!$AQ$1:$AQ$37,$J86,1),seznam!$A$2:$C$25,3,FALSE),"------"),")")</f>
        <v>Jonášová Kristýna   (STK Zbraslavec)</v>
      </c>
      <c r="L87" s="215"/>
      <c r="M87" s="216"/>
    </row>
    <row r="88" spans="1:13" ht="14.25" customHeight="1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>
      <c r="A90" s="217" t="str">
        <f>CONCATENATE("Rozhodčí: ",IFERROR(VLOOKUP('sk C,D - Ženy'!$AS$31,seznam!$A$2:$C$25,2),""))</f>
        <v>Rozhodčí: Klašková Alžběta</v>
      </c>
      <c r="B90" s="206"/>
      <c r="C90" s="218"/>
      <c r="D90" s="205" t="s">
        <v>30</v>
      </c>
      <c r="E90" s="206"/>
      <c r="F90" s="207"/>
      <c r="H90" s="217" t="str">
        <f>CONCATENATE("Rozhodčí: ",IFERROR(VLOOKUP('sk C,D - Ženy'!$AS$34,seznam!$A$2:$C$25,2),""))</f>
        <v>Rozhodčí: Straková Adéla</v>
      </c>
      <c r="I90" s="206"/>
      <c r="J90" s="218"/>
      <c r="K90" s="205" t="s">
        <v>30</v>
      </c>
      <c r="L90" s="206"/>
      <c r="M90" s="207"/>
    </row>
    <row r="91" spans="1:13" ht="18" customHeight="1" thickBot="1"/>
    <row r="92" spans="1:13" ht="36" customHeight="1">
      <c r="A92" s="208" t="str">
        <f>'sk C,D - Ženy'!$C$1</f>
        <v>Žebříčkový turnaj - U11 Ž - I.stupeň</v>
      </c>
      <c r="B92" s="209"/>
      <c r="C92" s="209"/>
      <c r="D92" s="209"/>
      <c r="E92" s="209"/>
      <c r="F92" s="210"/>
      <c r="H92" s="208" t="str">
        <f>'sk C,D - Ženy'!$C$1</f>
        <v>Žebříčkový turnaj - U11 Ž - I.stupeň</v>
      </c>
      <c r="I92" s="209"/>
      <c r="J92" s="209"/>
      <c r="K92" s="209"/>
      <c r="L92" s="209"/>
      <c r="M92" s="210"/>
    </row>
    <row r="93" spans="1:13" ht="36" customHeight="1" thickBot="1">
      <c r="A93" s="88" t="str">
        <f>CONCATENATE("Sk: ",MID(INDEX('sk C,D - Ženy'!$C$1:'sk C,D - Ženy'!$C$17,MOD(TRUNC((COLUMN()-1)/7),2 )*15+2,1),LEN("skupina ")+1,1))</f>
        <v>Sk: C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C,D - Ženy'!$AE$1</f>
        <v>45773</v>
      </c>
      <c r="E93" s="62"/>
      <c r="F93" s="89" t="str">
        <f>CONCATENATE("stůl č. ",zápis!I88)</f>
        <v xml:space="preserve">stůl č. </v>
      </c>
      <c r="H93" s="88" t="str">
        <f>CONCATENATE("Sk: ",MID(INDEX('sk C,D - Ženy'!$C$1:'sk C,D - Ženy'!$C$17,MOD(TRUNC((COLUMN()-1)/7),2 )*15+2,1),LEN("skupina ")+1,1))</f>
        <v>Sk: D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C,D - Ženy'!$AE$1</f>
        <v>45773</v>
      </c>
      <c r="L93" s="62"/>
      <c r="M93" s="89" t="str">
        <f>CONCATENATE("stůl č. ",zápis!I91)</f>
        <v xml:space="preserve">stůl č. </v>
      </c>
    </row>
    <row r="94" spans="1:13" ht="36" customHeight="1" thickBot="1">
      <c r="A94" s="214" t="str">
        <f>CONCATENATE(IF(COUNTIF(seznam!$A$2:$A$25, INDEX('sk C,D - Ženy'!$AP$1:$AP$37,$C93,1) )=1,VLOOKUP(INDEX('sk C,D - Ženy'!$AP$1:$AP$37,$C93,1),seznam!$A$2:$C$25,2,FALSE),"------"),"   (",IF(COUNTIF(seznam!$A$2:$A$25, INDEX('sk C,D - Ženy'!$AP$1:$AP$37,$C93,1) )=1,VLOOKUP( INDEX('sk C,D - Ženy'!$AP$1:$AP$37,$C93,1),seznam!$A$2:$C$25,3,FALSE),"------"),")")</f>
        <v>Křepelová Kamila   (STK Zbraslavec)</v>
      </c>
      <c r="B94" s="215"/>
      <c r="C94" s="215"/>
      <c r="D94" s="214" t="str">
        <f>CONCATENATE(IF(COUNTIF(seznam!$A$2:$A$25, INDEX('sk C,D - Ženy'!$AQ$1:$AQ$37,$C93,1) )=1,VLOOKUP( INDEX('sk C,D - Ženy'!$AQ$1:$AQ$37,$C93,1),seznam!$A$2:$C$25,2,FALSE),"------"),"   (",IF(COUNTIF(seznam!$A$2:$A$25, INDEX('sk C,D - Ženy'!$AQ$1:$AQ$37,$C93,1) )=1,VLOOKUP( INDEX('sk C,D - Ženy'!$AQ$1:$AQ$37,$C93,1),seznam!$A$2:$C$25,3,FALSE),"------"),")")</f>
        <v>Svobodová Kristýna   (Jiskra Strážnice)</v>
      </c>
      <c r="E94" s="215"/>
      <c r="F94" s="216"/>
      <c r="H94" s="214" t="str">
        <f>CONCATENATE(IF(COUNTIF(seznam!$A$2:$A$25, INDEX('sk C,D - Ženy'!$AP$1:$AP$37,$J93,1) )=1,VLOOKUP(INDEX('sk C,D - Ženy'!$AP$1:$AP$37,$J93,1),seznam!$A$2:$C$25,2,FALSE),"------"),"   (",IF(COUNTIF(seznam!$A$2:$A$25, INDEX('sk C,D - Ženy'!$AP$1:$AP$37,$J93,1) )=1,VLOOKUP( INDEX('sk C,D - Ženy'!$AP$1:$AP$37,$J93,1),seznam!$A$2:$C$25,3,FALSE),"------"),")")</f>
        <v>Hasoňová Jana   (SKST Hodonín)</v>
      </c>
      <c r="I94" s="215"/>
      <c r="J94" s="215"/>
      <c r="K94" s="214" t="str">
        <f>CONCATENATE(IF(COUNTIF(seznam!$A$2:$A$25, INDEX('sk C,D - Ženy'!$AQ$1:$AQ$37,$J93,1) )=1,VLOOKUP( INDEX('sk C,D - Ženy'!$AQ$1:$AQ$37,$J93,1),seznam!$A$2:$C$25,2,FALSE),"------"),"   (",IF(COUNTIF(seznam!$A$2:$A$25, INDEX('sk C,D - Ženy'!$AQ$1:$AQ$37,$J93,1) )=1,VLOOKUP( INDEX('sk C,D - Ženy'!$AQ$1:$AQ$37,$J93,1),seznam!$A$2:$C$25,3,FALSE),"------"),")")</f>
        <v>Krupková Klaudie   (KST Blansko)</v>
      </c>
      <c r="L94" s="215"/>
      <c r="M94" s="216"/>
    </row>
    <row r="95" spans="1:13" ht="14.25" customHeight="1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>
      <c r="A97" s="217" t="str">
        <f>CONCATENATE("Rozhodčí: ",IFERROR(VLOOKUP('sk C,D - Ženy'!$AS$32,seznam!$A$2:$C$25,2),""))</f>
        <v>Rozhodčí: Solfronková Ema</v>
      </c>
      <c r="B97" s="206"/>
      <c r="C97" s="218"/>
      <c r="D97" s="205" t="s">
        <v>30</v>
      </c>
      <c r="E97" s="206"/>
      <c r="F97" s="207"/>
      <c r="H97" s="217" t="str">
        <f>CONCATENATE("Rozhodčí: ",IFERROR(VLOOKUP('sk C,D - Ženy'!$AS$35,seznam!$A$2:$C$25,2),""))</f>
        <v>Rozhodčí: Pilitowská Ela</v>
      </c>
      <c r="I97" s="206"/>
      <c r="J97" s="218"/>
      <c r="K97" s="205" t="s">
        <v>30</v>
      </c>
      <c r="L97" s="206"/>
      <c r="M97" s="207"/>
    </row>
    <row r="98" spans="1:13" ht="18" customHeight="1" thickBot="1"/>
    <row r="99" spans="1:13" ht="36" customHeight="1">
      <c r="A99" s="208" t="str">
        <f>'sk C,D - Ženy'!$C$1</f>
        <v>Žebříčkový turnaj - U11 Ž - I.stupeň</v>
      </c>
      <c r="B99" s="209"/>
      <c r="C99" s="209"/>
      <c r="D99" s="209"/>
      <c r="E99" s="209"/>
      <c r="F99" s="210"/>
      <c r="H99" s="208" t="str">
        <f>'sk C,D - Ženy'!$C$1</f>
        <v>Žebříčkový turnaj - U11 Ž - I.stupeň</v>
      </c>
      <c r="I99" s="209"/>
      <c r="J99" s="209"/>
      <c r="K99" s="209"/>
      <c r="L99" s="209"/>
      <c r="M99" s="210"/>
    </row>
    <row r="100" spans="1:13" ht="36" customHeight="1" thickBot="1">
      <c r="A100" s="88" t="str">
        <f>CONCATENATE("Sk: ",MID(INDEX('sk C,D - Ženy'!$C$1:'sk C,D - Ženy'!$C$17,MOD(TRUNC((COLUMN()-1)/7),2 )*15+2,1),LEN("skupina ")+1,1))</f>
        <v>Sk: C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C,D - Ženy'!$AE$1</f>
        <v>45773</v>
      </c>
      <c r="E100" s="62"/>
      <c r="F100" s="89" t="str">
        <f>CONCATENATE("stůl č. ",zápis!I89)</f>
        <v xml:space="preserve">stůl č. </v>
      </c>
      <c r="H100" s="88" t="str">
        <f>CONCATENATE("Sk: ",MID(INDEX('sk C,D - Ženy'!$C$1:'sk C,D - Ženy'!$C$17,MOD(TRUNC((COLUMN()-1)/7),2 )*15+2,1),LEN("skupina ")+1,1))</f>
        <v>Sk: D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C,D - Ženy'!$AE$1</f>
        <v>45773</v>
      </c>
      <c r="L100" s="62"/>
      <c r="M100" s="89" t="str">
        <f>CONCATENATE("stůl č. ",zápis!I92)</f>
        <v xml:space="preserve">stůl č. </v>
      </c>
    </row>
    <row r="101" spans="1:13" ht="36" customHeight="1" thickBot="1">
      <c r="A101" s="214" t="str">
        <f>CONCATENATE(IF(COUNTIF(seznam!$A$2:$A$25, INDEX('sk C,D - Ženy'!$AP$1:$AP$37,$C100,1) )=1,VLOOKUP(INDEX('sk C,D - Ženy'!$AP$1:$AP$37,$C100,1),seznam!$A$2:$C$25,2,FALSE),"------"),"   (",IF(COUNTIF(seznam!$A$2:$A$25, INDEX('sk C,D - Ženy'!$AP$1:$AP$37,$C100,1) )=1,VLOOKUP( INDEX('sk C,D - Ženy'!$AP$1:$AP$37,$C100,1),seznam!$A$2:$C$25,3,FALSE),"------"),")")</f>
        <v>Klašková Alžběta   (KST FOSFA LVA)</v>
      </c>
      <c r="B101" s="215"/>
      <c r="C101" s="215"/>
      <c r="D101" s="214" t="str">
        <f>CONCATENATE(IF(COUNTIF(seznam!$A$2:$A$25, INDEX('sk C,D - Ženy'!$AQ$1:$AQ$37,$C100,1) )=1,VLOOKUP( INDEX('sk C,D - Ženy'!$AQ$1:$AQ$37,$C100,1),seznam!$A$2:$C$25,2,FALSE),"------"),"   (",IF(COUNTIF(seznam!$A$2:$A$25, INDEX('sk C,D - Ženy'!$AQ$1:$AQ$37,$C100,1) )=1,VLOOKUP( INDEX('sk C,D - Ženy'!$AQ$1:$AQ$37,$C100,1),seznam!$A$2:$C$25,3,FALSE),"------"),")")</f>
        <v>Solfronková Ema   (MS Brno)</v>
      </c>
      <c r="E101" s="215"/>
      <c r="F101" s="216"/>
      <c r="H101" s="214" t="str">
        <f>CONCATENATE(IF(COUNTIF(seznam!$A$2:$A$25, INDEX('sk C,D - Ženy'!$AP$1:$AP$37,$J100,1) )=1,VLOOKUP(INDEX('sk C,D - Ženy'!$AP$1:$AP$37,$J100,1),seznam!$A$2:$C$25,2,FALSE),"------"),"   (",IF(COUNTIF(seznam!$A$2:$A$25, INDEX('sk C,D - Ženy'!$AP$1:$AP$37,$J100,1) )=1,VLOOKUP( INDEX('sk C,D - Ženy'!$AP$1:$AP$37,$J100,1),seznam!$A$2:$C$25,3,FALSE),"------"),")")</f>
        <v>Straková Adéla   (Vlast Ježov)</v>
      </c>
      <c r="I101" s="215"/>
      <c r="J101" s="215"/>
      <c r="K101" s="214" t="str">
        <f>CONCATENATE(IF(COUNTIF(seznam!$A$2:$A$25, INDEX('sk C,D - Ženy'!$AQ$1:$AQ$37,$J100,1) )=1,VLOOKUP( INDEX('sk C,D - Ženy'!$AQ$1:$AQ$37,$J100,1),seznam!$A$2:$C$25,2,FALSE),"------"),"   (",IF(COUNTIF(seznam!$A$2:$A$25, INDEX('sk C,D - Ženy'!$AQ$1:$AQ$37,$J100,1) )=1,VLOOKUP( INDEX('sk C,D - Ženy'!$AQ$1:$AQ$37,$J100,1),seznam!$A$2:$C$25,3,FALSE),"------"),")")</f>
        <v>Pilitowská Ela   (KST Blansko)</v>
      </c>
      <c r="L101" s="215"/>
      <c r="M101" s="216"/>
    </row>
    <row r="102" spans="1:13" ht="14.25" customHeight="1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>
      <c r="A104" s="217" t="str">
        <f>CONCATENATE("Rozhodčí: ",IFERROR(VLOOKUP('sk C,D - Ženy'!$AS$33,seznam!$A$2:$C$25,2),""))</f>
        <v>Rozhodčí: Žilková Elen</v>
      </c>
      <c r="B104" s="206"/>
      <c r="C104" s="218"/>
      <c r="D104" s="205" t="s">
        <v>30</v>
      </c>
      <c r="E104" s="206"/>
      <c r="F104" s="207"/>
      <c r="H104" s="217" t="str">
        <f>CONCATENATE("Rozhodčí: ",IFERROR(VLOOKUP('sk C,D - Ženy'!$AS$36,seznam!$A$2:$C$25,2),""))</f>
        <v>Rozhodčí: Maradová Eliška</v>
      </c>
      <c r="I104" s="206"/>
      <c r="J104" s="218"/>
      <c r="K104" s="205" t="s">
        <v>30</v>
      </c>
      <c r="L104" s="206"/>
      <c r="M104" s="207"/>
    </row>
    <row r="105" spans="1:13" ht="18" customHeight="1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pageMargins left="0.19685039370078741" right="0.19685039370078741" top="0.39370078740157483" bottom="0.39370078740157483" header="0" footer="0"/>
  <pageSetup paperSize="9" scale="85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S105"/>
  <sheetViews>
    <sheetView showGridLines="0" view="pageBreakPreview" topLeftCell="A7" zoomScale="55" zoomScaleNormal="48" zoomScaleSheetLayoutView="55" workbookViewId="0">
      <selection activeCell="L16" sqref="L16"/>
    </sheetView>
  </sheetViews>
  <sheetFormatPr defaultRowHeight="12.5"/>
  <cols>
    <col min="1" max="6" width="13.7265625" customWidth="1"/>
    <col min="7" max="7" width="4.1796875" customWidth="1"/>
    <col min="8" max="13" width="13.7265625" customWidth="1"/>
    <col min="15" max="15" width="12.453125" bestFit="1" customWidth="1"/>
    <col min="16" max="16" width="39.453125" customWidth="1"/>
  </cols>
  <sheetData>
    <row r="1" spans="1:19" ht="36" customHeight="1">
      <c r="A1" s="208" t="str">
        <f>'sk 1-6, 7-12 - Muži'!$C$1</f>
        <v>Žebříčkový turnaj - U11 M - II.stupeň</v>
      </c>
      <c r="B1" s="209"/>
      <c r="C1" s="209"/>
      <c r="D1" s="209"/>
      <c r="E1" s="209"/>
      <c r="F1" s="210"/>
      <c r="H1" s="208" t="str">
        <f>'sk 1-6, 7-12 - Muži'!$C$1</f>
        <v>Žebříčkový turnaj - U11 M - II.stupeň</v>
      </c>
      <c r="I1" s="209"/>
      <c r="J1" s="209"/>
      <c r="K1" s="209"/>
      <c r="L1" s="209"/>
      <c r="M1" s="210"/>
    </row>
    <row r="2" spans="1:19" ht="36" customHeight="1" thickBot="1">
      <c r="A2" s="88" t="str">
        <f>CONCATENATE("Sk: M ",MID(INDEX('sk 1-6, 7-12 - Muži'!$C$1:'sk 1-6, 7-12 - Muži'!$C$17,MOD(TRUNC((COLUMN()-1)/7),2 )*15+2,1),LEN("skupina ")+1,10))</f>
        <v>Sk: M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Muži'!$AE$1</f>
        <v>45773</v>
      </c>
      <c r="E2" s="62" t="e">
        <f ca="1">IF(LEN(INDIRECT(CONCATENATE("'sk 1-6, 7-12 - Muži'!AT",INDIRECT(ADDRESS(ROW(),COLUMN()-2)))))=0,"","NEHRÁT")</f>
        <v>#NAME?</v>
      </c>
      <c r="F2" s="89" t="str">
        <f>CONCATENATE("stůl č. ",zápis!I4)</f>
        <v xml:space="preserve">stůl č. </v>
      </c>
      <c r="H2" s="88" t="str">
        <f>CONCATENATE("Sk: M ",MID(INDEX('sk 1-6, 7-12 - Muži'!$C$1:'sk 1-6, 7-12 - Muži'!$C$17,MOD(TRUNC((COLUMN()-1)/7),2 )*15+2,1),LEN("skupina ")+1,10))</f>
        <v>Sk: M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Muži'!$AE$1</f>
        <v>45773</v>
      </c>
      <c r="L2" s="62" t="e">
        <f ca="1">IF(LEN(INDIRECT(CONCATENATE("'sk 1-6, 7-12 - Muži'!AT",INDIRECT(ADDRESS(ROW(),COLUMN()-2)))))=0,"","NEHRÁT")</f>
        <v>#NAME?</v>
      </c>
      <c r="M2" s="89" t="str">
        <f>CONCATENATE("stůl č. ",zápis!I7)</f>
        <v xml:space="preserve">stůl č. </v>
      </c>
      <c r="Q2" t="e">
        <f ca="1">INDIRECT(CONCATENATE("'sk 1-6, 7-12 - Muži'!AT",C16))</f>
        <v>#NAME?</v>
      </c>
    </row>
    <row r="3" spans="1:19" ht="36" customHeight="1" thickBot="1">
      <c r="A3" s="211" t="str">
        <f>CONCATENATE(IF(COUNTIF(seznam!$A$2:$A$25, INDEX('sk 1-6, 7-12 - Muži'!$AP$1:$AP$37,$C2,1) )=1,VLOOKUP(INDEX('sk 1-6, 7-12 - Muži'!$AP$1:$AP$37,$C2,1),seznam!$A$2:$C$25,2,FALSE),"------"),"   (",IF(COUNTIF(seznam!$A$2:$A$25, INDEX('sk 1-6, 7-12 - Muži'!$AP$1:$AP$37,$C2,1) )=1,VLOOKUP( INDEX('sk 1-6, 7-12 - Muži'!$AP$1:$AP$37,$C2,1),seznam!$A$2:$C$25,3,FALSE),"------"),")")</f>
        <v>Voráč Pavel   (KST Blansko)</v>
      </c>
      <c r="B3" s="212"/>
      <c r="C3" s="212"/>
      <c r="D3" s="211" t="str">
        <f>CONCATENATE(IF(COUNTIF(seznam!$A$2:$A$25, INDEX('sk 1-6, 7-12 - Muži'!$AQ$1:$AQ$37,$C2,1) )=1,VLOOKUP( INDEX('sk 1-6, 7-12 - Muži'!$AQ$1:$AQ$37,$C2,1),seznam!$A$2:$C$25,2,FALSE),"------"),"   (",IF(COUNTIF(seznam!$A$2:$A$25, INDEX('sk 1-6, 7-12 - Muži'!$AQ$1:$AQ$37,$C2,1) )=1,VLOOKUP( INDEX('sk 1-6, 7-12 - Muži'!$AQ$1:$AQ$37,$C2,1),seznam!$A$2:$C$25,3,FALSE),"------"),")")</f>
        <v>Omelka Marek   (KST FOSFA LVA)</v>
      </c>
      <c r="E3" s="212"/>
      <c r="F3" s="213"/>
      <c r="H3" s="211" t="str">
        <f>CONCATENATE(IF(COUNTIF(seznam!$A$2:$A$25, INDEX('sk 1-6, 7-12 - Muži'!$AP$1:$AP$37,$J2,1) )=1,VLOOKUP(INDEX('sk 1-6, 7-12 - Muži'!$AP$1:$AP$37,$J2,1),seznam!$A$2:$C$25,2,FALSE),"------"),"   (",IF(COUNTIF(seznam!$A$2:$A$25, INDEX('sk 1-6, 7-12 - Muži'!$AP$1:$AP$37,$J2,1) )=1,VLOOKUP( INDEX('sk 1-6, 7-12 - Muži'!$AP$1:$AP$37,$J2,1),seznam!$A$2:$C$25,3,FALSE),"------"),")")</f>
        <v>Spěvák Šimon   (KST FOSFA LVA)</v>
      </c>
      <c r="I3" s="212"/>
      <c r="J3" s="212"/>
      <c r="K3" s="211" t="str">
        <f>CONCATENATE(IF(COUNTIF(seznam!$A$2:$A$25, INDEX('sk 1-6, 7-12 - Muži'!$AQ$1:$AQ$37,$J2,1) )=1,VLOOKUP( INDEX('sk 1-6, 7-12 - Muži'!$AQ$1:$AQ$37,$J2,1),seznam!$A$2:$C$25,2,FALSE),"------"),"   (",IF(COUNTIF(seznam!$A$2:$A$25, INDEX('sk 1-6, 7-12 - Muži'!$AQ$1:$AQ$37,$J2,1) )=1,VLOOKUP( INDEX('sk 1-6, 7-12 - Muži'!$AQ$1:$AQ$37,$J2,1),seznam!$A$2:$C$25,3,FALSE),"------"),")")</f>
        <v>Ides Samuel Hugo   (Sokol Brno I)</v>
      </c>
      <c r="L3" s="212"/>
      <c r="M3" s="213"/>
    </row>
    <row r="4" spans="1:19" ht="14.25" customHeight="1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>
      <c r="A6" s="202" t="str">
        <f>CONCATENATE("Rozhodčí: ",IFERROR(VLOOKUP('sk 1-6, 7-12 - Muži'!$AS$3,seznam!$A$2:$C$25,2),""))</f>
        <v>Rozhodčí: Šimon Samuel</v>
      </c>
      <c r="B6" s="203"/>
      <c r="C6" s="204"/>
      <c r="D6" s="205" t="s">
        <v>30</v>
      </c>
      <c r="E6" s="206"/>
      <c r="F6" s="207"/>
      <c r="H6" s="202" t="str">
        <f>CONCATENATE("Rozhodčí: ",IFERROR(VLOOKUP('sk 1-6, 7-12 - Muži'!$AS$6,seznam!$A$2:$C$25,2),""))</f>
        <v>Rozhodčí: Tomeček Richard</v>
      </c>
      <c r="I6" s="203"/>
      <c r="J6" s="204"/>
      <c r="K6" s="205" t="s">
        <v>30</v>
      </c>
      <c r="L6" s="206"/>
      <c r="M6" s="207"/>
    </row>
    <row r="7" spans="1:19" ht="18" customHeight="1" thickBot="1">
      <c r="S7" s="99"/>
    </row>
    <row r="8" spans="1:19" ht="36" customHeight="1">
      <c r="A8" s="208" t="str">
        <f>'sk 1-6, 7-12 - Muži'!$C$1</f>
        <v>Žebříčkový turnaj - U11 M - II.stupeň</v>
      </c>
      <c r="B8" s="209"/>
      <c r="C8" s="209"/>
      <c r="D8" s="209"/>
      <c r="E8" s="209"/>
      <c r="F8" s="210"/>
      <c r="H8" s="208" t="str">
        <f>'sk 1-6, 7-12 - Muži'!$C$1</f>
        <v>Žebříčkový turnaj - U11 M - II.stupeň</v>
      </c>
      <c r="I8" s="209"/>
      <c r="J8" s="209"/>
      <c r="K8" s="209"/>
      <c r="L8" s="209"/>
      <c r="M8" s="210"/>
    </row>
    <row r="9" spans="1:19" ht="36" customHeight="1" thickBot="1">
      <c r="A9" s="88" t="str">
        <f>CONCATENATE("Sk: M ",MID(INDEX('sk 1-6, 7-12 - Muži'!$C$1:'sk 1-6, 7-12 - Muži'!$C$17,MOD(TRUNC((COLUMN()-1)/7),2 )*15+2,1),LEN("skupina ")+1,10))</f>
        <v>Sk: M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Muži'!$AE$1</f>
        <v>45773</v>
      </c>
      <c r="E9" s="62" t="e">
        <f ca="1">IF(LEN(INDIRECT(CONCATENATE("'sk 1-6, 7-12 - Muži'!AT",INDIRECT(ADDRESS(ROW(),COLUMN()-2)))))=0,"","NEHRÁT")</f>
        <v>#NAME?</v>
      </c>
      <c r="F9" s="89" t="str">
        <f>CONCATENATE("stůl č. ",zápis!I5)</f>
        <v xml:space="preserve">stůl č. </v>
      </c>
      <c r="H9" s="88" t="str">
        <f>CONCATENATE("Sk: M ",MID(INDEX('sk 1-6, 7-12 - Muži'!$C$1:'sk 1-6, 7-12 - Muži'!$C$17,MOD(TRUNC((COLUMN()-1)/7),2 )*15+2,1),LEN("skupina ")+1,10))</f>
        <v>Sk: M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Muži'!$AE$1</f>
        <v>45773</v>
      </c>
      <c r="L9" s="62" t="e">
        <f ca="1">IF(LEN(INDIRECT(CONCATENATE("'sk 1-6, 7-12 - Muži'!AT",INDIRECT(ADDRESS(ROW(),COLUMN()-2)))))=0,"","NEHRÁT")</f>
        <v>#NAME?</v>
      </c>
      <c r="M9" s="89" t="str">
        <f>CONCATENATE("stůl č. ",zápis!I8)</f>
        <v xml:space="preserve">stůl č. </v>
      </c>
    </row>
    <row r="10" spans="1:19" ht="36" customHeight="1" thickBot="1">
      <c r="A10" s="211" t="str">
        <f>CONCATENATE(IF(COUNTIF(seznam!$A$2:$A$25, INDEX('sk 1-6, 7-12 - Muži'!$AP$1:$AP$37,$C9,1) )=1,VLOOKUP(INDEX('sk 1-6, 7-12 - Muži'!$AP$1:$AP$37,$C9,1),seznam!$A$2:$C$25,2,FALSE),"------"),"   (",IF(COUNTIF(seznam!$A$2:$A$25, INDEX('sk 1-6, 7-12 - Muži'!$AP$1:$AP$37,$C9,1) )=1,VLOOKUP( INDEX('sk 1-6, 7-12 - Muži'!$AP$1:$AP$37,$C9,1),seznam!$A$2:$C$25,3,FALSE),"------"),")")</f>
        <v>Látal Jan   (Jiskra Strážnice)</v>
      </c>
      <c r="B10" s="212"/>
      <c r="C10" s="212"/>
      <c r="D10" s="211" t="str">
        <f>CONCATENATE(IF(COUNTIF(seznam!$A$2:$A$25, INDEX('sk 1-6, 7-12 - Muži'!$AQ$1:$AQ$37,$C9,1) )=1,VLOOKUP( INDEX('sk 1-6, 7-12 - Muži'!$AQ$1:$AQ$37,$C9,1),seznam!$A$2:$C$25,2,FALSE),"------"),"   (",IF(COUNTIF(seznam!$A$2:$A$25, INDEX('sk 1-6, 7-12 - Muži'!$AQ$1:$AQ$37,$C9,1) )=1,VLOOKUP( INDEX('sk 1-6, 7-12 - Muži'!$AQ$1:$AQ$37,$C9,1),seznam!$A$2:$C$25,3,FALSE),"------"),")")</f>
        <v>Kmenta Josef   (SKST Hodonín)</v>
      </c>
      <c r="E10" s="212"/>
      <c r="F10" s="213"/>
      <c r="H10" s="211" t="str">
        <f>CONCATENATE(IF(COUNTIF(seznam!$A$2:$A$25, INDEX('sk 1-6, 7-12 - Muži'!$AP$1:$AP$37,$J9,1) )=1,VLOOKUP(INDEX('sk 1-6, 7-12 - Muži'!$AP$1:$AP$37,$J9,1),seznam!$A$2:$C$25,2,FALSE),"------"),"   (",IF(COUNTIF(seznam!$A$2:$A$25, INDEX('sk 1-6, 7-12 - Muži'!$AP$1:$AP$37,$J9,1) )=1,VLOOKUP( INDEX('sk 1-6, 7-12 - Muži'!$AP$1:$AP$37,$J9,1),seznam!$A$2:$C$25,3,FALSE),"------"),")")</f>
        <v>Luhan Adam   (MSK Břeclav)</v>
      </c>
      <c r="I10" s="212"/>
      <c r="J10" s="212"/>
      <c r="K10" s="211" t="str">
        <f>CONCATENATE(IF(COUNTIF(seznam!$A$2:$A$25, INDEX('sk 1-6, 7-12 - Muži'!$AQ$1:$AQ$37,$J9,1) )=1,VLOOKUP( INDEX('sk 1-6, 7-12 - Muži'!$AQ$1:$AQ$37,$J9,1),seznam!$A$2:$C$25,2,FALSE),"------"),"   (",IF(COUNTIF(seznam!$A$2:$A$25, INDEX('sk 1-6, 7-12 - Muži'!$AQ$1:$AQ$37,$J9,1) )=1,VLOOKUP( INDEX('sk 1-6, 7-12 - Muži'!$AQ$1:$AQ$37,$J9,1),seznam!$A$2:$C$25,3,FALSE),"------"),")")</f>
        <v>Pantlík Daniel   (MK Řeznovice)</v>
      </c>
      <c r="L10" s="212"/>
      <c r="M10" s="213"/>
    </row>
    <row r="11" spans="1:19" ht="14.25" customHeight="1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>
      <c r="A12" s="63"/>
      <c r="B12" s="64"/>
      <c r="C12" s="64"/>
      <c r="D12" s="64"/>
      <c r="E12" s="116"/>
      <c r="F12" s="65"/>
      <c r="H12" s="63"/>
      <c r="I12" s="64"/>
      <c r="J12" s="64"/>
      <c r="K12" s="64"/>
      <c r="L12" s="64"/>
      <c r="M12" s="65"/>
    </row>
    <row r="13" spans="1:19" ht="36" customHeight="1" thickBot="1">
      <c r="A13" s="202" t="str">
        <f>CONCATENATE("Rozhodčí: ",IFERROR(VLOOKUP('sk 1-6, 7-12 - Muži'!$AS$4,seznam!$A$2:$C$25,2),""))</f>
        <v>Rozhodčí: Peťura Patrik</v>
      </c>
      <c r="B13" s="203"/>
      <c r="C13" s="204"/>
      <c r="D13" s="205" t="s">
        <v>30</v>
      </c>
      <c r="E13" s="206"/>
      <c r="F13" s="207"/>
      <c r="H13" s="202" t="str">
        <f>CONCATENATE("Rozhodčí: ",IFERROR(VLOOKUP('sk 1-6, 7-12 - Muži'!$AS$7,seznam!$A$2:$C$25,2),""))</f>
        <v>Rozhodčí: Plotzer Robin</v>
      </c>
      <c r="I13" s="203"/>
      <c r="J13" s="204"/>
      <c r="K13" s="205" t="s">
        <v>30</v>
      </c>
      <c r="L13" s="206"/>
      <c r="M13" s="207"/>
    </row>
    <row r="14" spans="1:19" ht="18" customHeight="1" thickBot="1"/>
    <row r="15" spans="1:19" ht="36" customHeight="1">
      <c r="A15" s="208" t="str">
        <f>'sk 1-6, 7-12 - Muži'!$C$1</f>
        <v>Žebříčkový turnaj - U11 M - II.stupeň</v>
      </c>
      <c r="B15" s="209"/>
      <c r="C15" s="209"/>
      <c r="D15" s="209"/>
      <c r="E15" s="209"/>
      <c r="F15" s="210"/>
      <c r="H15" s="208" t="str">
        <f>'sk 1-6, 7-12 - Muži'!$C$1</f>
        <v>Žebříčkový turnaj - U11 M - II.stupeň</v>
      </c>
      <c r="I15" s="209"/>
      <c r="J15" s="209"/>
      <c r="K15" s="209"/>
      <c r="L15" s="209"/>
      <c r="M15" s="210"/>
    </row>
    <row r="16" spans="1:19" ht="36" customHeight="1" thickBot="1">
      <c r="A16" s="88" t="str">
        <f>CONCATENATE("Sk: M ",MID(INDEX('sk 1-6, 7-12 - Muži'!$C$1:'sk 1-6, 7-12 - Muži'!$C$17,MOD(TRUNC((COLUMN()-1)/7),2 )*15+2,1),LEN("skupina ")+1,10))</f>
        <v>Sk: M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Muži'!$AE$1</f>
        <v>45773</v>
      </c>
      <c r="E16" s="62" t="e">
        <f ca="1">IF(LEN(INDIRECT(CONCATENATE("'sk 1-6, 7-12 - Muži'!AT",INDIRECT(ADDRESS(ROW(),COLUMN()-2)))))=0,"","NEHRÁT")</f>
        <v>#NAME?</v>
      </c>
      <c r="F16" s="89" t="str">
        <f>CONCATENATE("stůl č. ",zápis!I6)</f>
        <v xml:space="preserve">stůl č. </v>
      </c>
      <c r="H16" s="88" t="str">
        <f>CONCATENATE("Sk: M ",MID(INDEX('sk 1-6, 7-12 - Muži'!$C$1:'sk 1-6, 7-12 - Muži'!$C$17,MOD(TRUNC((COLUMN()-1)/7),2 )*15+2,1),LEN("skupina ")+1,10))</f>
        <v>Sk: M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Muži'!$AE$1</f>
        <v>45773</v>
      </c>
      <c r="L16" s="62" t="e">
        <f ca="1">IF(LEN(INDIRECT(CONCATENATE("'sk 1-6, 7-12 - Muži'!AT",INDIRECT(ADDRESS(ROW(),COLUMN()-2)))))=0,"","NEHRÁT")</f>
        <v>#NAME?</v>
      </c>
      <c r="M16" s="89" t="str">
        <f>CONCATENATE("stůl č. ",zápis!I9)</f>
        <v xml:space="preserve">stůl č. </v>
      </c>
    </row>
    <row r="17" spans="1:13" ht="36" customHeight="1" thickBot="1">
      <c r="A17" s="211" t="str">
        <f>CONCATENATE(IF(COUNTIF(seznam!$A$2:$A$25, INDEX('sk 1-6, 7-12 - Muži'!$AP$1:$AP$37,$C16,1) )=1,VLOOKUP(INDEX('sk 1-6, 7-12 - Muži'!$AP$1:$AP$37,$C16,1),seznam!$A$2:$C$25,2,FALSE),"------"),"   (",IF(COUNTIF(seznam!$A$2:$A$25, INDEX('sk 1-6, 7-12 - Muži'!$AP$1:$AP$37,$C16,1) )=1,VLOOKUP( INDEX('sk 1-6, 7-12 - Muži'!$AP$1:$AP$37,$C16,1),seznam!$A$2:$C$25,3,FALSE),"------"),")")</f>
        <v>Šimon Samuel   (KST FOSFA LVA)</v>
      </c>
      <c r="B17" s="212"/>
      <c r="C17" s="212"/>
      <c r="D17" s="211" t="str">
        <f>CONCATENATE(IF(COUNTIF(seznam!$A$2:$A$25, INDEX('sk 1-6, 7-12 - Muži'!$AQ$1:$AQ$37,$C16,1) )=1,VLOOKUP( INDEX('sk 1-6, 7-12 - Muži'!$AQ$1:$AQ$37,$C16,1),seznam!$A$2:$C$25,2,FALSE),"------"),"   (",IF(COUNTIF(seznam!$A$2:$A$25, INDEX('sk 1-6, 7-12 - Muži'!$AQ$1:$AQ$37,$C16,1) )=1,VLOOKUP( INDEX('sk 1-6, 7-12 - Muži'!$AQ$1:$AQ$37,$C16,1),seznam!$A$2:$C$25,3,FALSE),"------"),")")</f>
        <v>Peťura Patrik   (Jiskra Strážnice)</v>
      </c>
      <c r="E17" s="212"/>
      <c r="F17" s="213"/>
      <c r="H17" s="211" t="str">
        <f>CONCATENATE(IF(COUNTIF(seznam!$A$2:$A$25, INDEX('sk 1-6, 7-12 - Muži'!$AP$1:$AP$37,$J16,1) )=1,VLOOKUP(INDEX('sk 1-6, 7-12 - Muži'!$AP$1:$AP$37,$J16,1),seznam!$A$2:$C$25,2,FALSE),"------"),"   (",IF(COUNTIF(seznam!$A$2:$A$25, INDEX('sk 1-6, 7-12 - Muži'!$AP$1:$AP$37,$J16,1) )=1,VLOOKUP( INDEX('sk 1-6, 7-12 - Muži'!$AP$1:$AP$37,$J16,1),seznam!$A$2:$C$25,3,FALSE),"------"),")")</f>
        <v>Tomeček Richard   (Jiskra Strážnice)</v>
      </c>
      <c r="I17" s="212"/>
      <c r="J17" s="212"/>
      <c r="K17" s="211" t="str">
        <f>CONCATENATE(IF(COUNTIF(seznam!$A$2:$A$25, INDEX('sk 1-6, 7-12 - Muži'!$AQ$1:$AQ$37,$J16,1) )=1,VLOOKUP( INDEX('sk 1-6, 7-12 - Muži'!$AQ$1:$AQ$37,$J16,1),seznam!$A$2:$C$25,2,FALSE),"------"),"   (",IF(COUNTIF(seznam!$A$2:$A$25, INDEX('sk 1-6, 7-12 - Muži'!$AQ$1:$AQ$37,$J16,1) )=1,VLOOKUP( INDEX('sk 1-6, 7-12 - Muži'!$AQ$1:$AQ$37,$J16,1),seznam!$A$2:$C$25,3,FALSE),"------"),")")</f>
        <v>Plotzer Robin   (MK Řeznovice)</v>
      </c>
      <c r="L17" s="212"/>
      <c r="M17" s="213"/>
    </row>
    <row r="18" spans="1:13" ht="14.25" customHeight="1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>
      <c r="A20" s="202" t="str">
        <f>CONCATENATE("Rozhodčí: ",IFERROR(VLOOKUP('sk 1-6, 7-12 - Muži'!$AS$5,seznam!$A$2:$C$25,2),""))</f>
        <v>Rozhodčí: Voráč Pavel</v>
      </c>
      <c r="B20" s="203"/>
      <c r="C20" s="204"/>
      <c r="D20" s="205" t="s">
        <v>30</v>
      </c>
      <c r="E20" s="206"/>
      <c r="F20" s="207"/>
      <c r="H20" s="202" t="str">
        <f>CONCATENATE("Rozhodčí: ",IFERROR(VLOOKUP('sk 1-6, 7-12 - Muži'!$AS$8,seznam!$A$2:$C$25,2),""))</f>
        <v>Rozhodčí: Spěvák Šimon</v>
      </c>
      <c r="I20" s="203"/>
      <c r="J20" s="204"/>
      <c r="K20" s="205" t="s">
        <v>30</v>
      </c>
      <c r="L20" s="206"/>
      <c r="M20" s="207"/>
    </row>
    <row r="21" spans="1:13" ht="18" customHeight="1" thickBot="1"/>
    <row r="22" spans="1:13" ht="36" customHeight="1">
      <c r="A22" s="208" t="str">
        <f>'sk 1-6, 7-12 - Muži'!$C$1</f>
        <v>Žebříčkový turnaj - U11 M - II.stupeň</v>
      </c>
      <c r="B22" s="209"/>
      <c r="C22" s="209"/>
      <c r="D22" s="209"/>
      <c r="E22" s="209"/>
      <c r="F22" s="210"/>
      <c r="H22" s="208" t="str">
        <f>'sk 1-6, 7-12 - Muži'!$C$1</f>
        <v>Žebříčkový turnaj - U11 M - II.stupeň</v>
      </c>
      <c r="I22" s="209"/>
      <c r="J22" s="209"/>
      <c r="K22" s="209"/>
      <c r="L22" s="209"/>
      <c r="M22" s="210"/>
    </row>
    <row r="23" spans="1:13" ht="36" customHeight="1" thickBot="1">
      <c r="A23" s="88" t="str">
        <f>CONCATENATE("Sk: M ",MID(INDEX('sk 1-6, 7-12 - Muži'!$C$1:'sk 1-6, 7-12 - Muži'!$C$17,MOD(TRUNC((COLUMN()-1)/7),2 )*15+2,1),LEN("skupina ")+1,10))</f>
        <v>Sk: M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Muži'!$AE$1</f>
        <v>45773</v>
      </c>
      <c r="E23" s="62" t="str">
        <f ca="1">IF(LEN(INDIRECT(CONCATENATE("'sk 1-6, 7-12 - Muži'!AT",INDIRECT(ADDRESS(ROW(),COLUMN()-2)))))=0,"","NEHRÁT")</f>
        <v>NEHRÁT</v>
      </c>
      <c r="F23" s="89" t="str">
        <f>CONCATENATE("stůl č. ",zápis!I25)</f>
        <v xml:space="preserve">stůl č. </v>
      </c>
      <c r="H23" s="88" t="str">
        <f>CONCATENATE("Sk: M ",MID(INDEX('sk 1-6, 7-12 - Muži'!$C$1:'sk 1-6, 7-12 - Muži'!$C$17,MOD(TRUNC((COLUMN()-1)/7),2 )*15+2,1),LEN("skupina ")+1,10))</f>
        <v>Sk: M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Muži'!$AE$1</f>
        <v>45773</v>
      </c>
      <c r="L23" s="62" t="str">
        <f ca="1">IF(LEN(INDIRECT(CONCATENATE("'sk 1-6, 7-12 - Muži'!AT",INDIRECT(ADDRESS(ROW(),COLUMN()-2)))))=0,"","NEHRÁT")</f>
        <v>NEHRÁT</v>
      </c>
      <c r="M23" s="89" t="str">
        <f>CONCATENATE("stůl č. ",zápis!I28)</f>
        <v xml:space="preserve">stůl č. </v>
      </c>
    </row>
    <row r="24" spans="1:13" ht="36" customHeight="1" thickBot="1">
      <c r="A24" s="211" t="str">
        <f>CONCATENATE(IF(COUNTIF(seznam!$A$2:$A$25, INDEX('sk 1-6, 7-12 - Muži'!$AP$1:$AP$37,$C23,1) )=1,VLOOKUP(INDEX('sk 1-6, 7-12 - Muži'!$AP$1:$AP$37,$C23,1),seznam!$A$2:$C$25,2,FALSE),"------"),"   (",IF(COUNTIF(seznam!$A$2:$A$25, INDEX('sk 1-6, 7-12 - Muži'!$AP$1:$AP$37,$C23,1) )=1,VLOOKUP( INDEX('sk 1-6, 7-12 - Muži'!$AP$1:$AP$37,$C23,1),seznam!$A$2:$C$25,3,FALSE),"------"),")")</f>
        <v>Omelka Marek   (KST FOSFA LVA)</v>
      </c>
      <c r="B24" s="212"/>
      <c r="C24" s="212"/>
      <c r="D24" s="211" t="str">
        <f>CONCATENATE(IF(COUNTIF(seznam!$A$2:$A$25, INDEX('sk 1-6, 7-12 - Muži'!$AQ$1:$AQ$37,$C23,1) )=1,VLOOKUP( INDEX('sk 1-6, 7-12 - Muži'!$AQ$1:$AQ$37,$C23,1),seznam!$A$2:$C$25,2,FALSE),"------"),"   (",IF(COUNTIF(seznam!$A$2:$A$25, INDEX('sk 1-6, 7-12 - Muži'!$AQ$1:$AQ$37,$C23,1) )=1,VLOOKUP( INDEX('sk 1-6, 7-12 - Muži'!$AQ$1:$AQ$37,$C23,1),seznam!$A$2:$C$25,3,FALSE),"------"),")")</f>
        <v>Peťura Patrik   (Jiskra Strážnice)</v>
      </c>
      <c r="E24" s="212"/>
      <c r="F24" s="213"/>
      <c r="H24" s="211" t="str">
        <f>CONCATENATE(IF(COUNTIF(seznam!$A$2:$A$25, INDEX('sk 1-6, 7-12 - Muži'!$AP$1:$AP$37,$J23,1) )=1,VLOOKUP(INDEX('sk 1-6, 7-12 - Muži'!$AP$1:$AP$37,$J23,1),seznam!$A$2:$C$25,2,FALSE),"------"),"   (",IF(COUNTIF(seznam!$A$2:$A$25, INDEX('sk 1-6, 7-12 - Muži'!$AP$1:$AP$37,$J23,1) )=1,VLOOKUP( INDEX('sk 1-6, 7-12 - Muži'!$AP$1:$AP$37,$J23,1),seznam!$A$2:$C$25,3,FALSE),"------"),")")</f>
        <v>Ides Samuel Hugo   (Sokol Brno I)</v>
      </c>
      <c r="I24" s="212"/>
      <c r="J24" s="212"/>
      <c r="K24" s="211" t="str">
        <f>CONCATENATE(IF(COUNTIF(seznam!$A$2:$A$25, INDEX('sk 1-6, 7-12 - Muži'!$AQ$1:$AQ$37,$J23,1) )=1,VLOOKUP( INDEX('sk 1-6, 7-12 - Muži'!$AQ$1:$AQ$37,$J23,1),seznam!$A$2:$C$25,2,FALSE),"------"),"   (",IF(COUNTIF(seznam!$A$2:$A$25, INDEX('sk 1-6, 7-12 - Muži'!$AQ$1:$AQ$37,$J23,1) )=1,VLOOKUP( INDEX('sk 1-6, 7-12 - Muži'!$AQ$1:$AQ$37,$J23,1),seznam!$A$2:$C$25,3,FALSE),"------"),")")</f>
        <v>Plotzer Robin   (MK Řeznovice)</v>
      </c>
      <c r="L24" s="212"/>
      <c r="M24" s="213"/>
    </row>
    <row r="25" spans="1:13" ht="14.25" customHeight="1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>
      <c r="A27" s="202" t="str">
        <f>CONCATENATE("Rozhodčí: ",IFERROR(VLOOKUP('sk 1-6, 7-12 - Muži'!$AS$10,seznam!$A$2:$C$25,2),""))</f>
        <v>Rozhodčí: Kmenta Josef</v>
      </c>
      <c r="B27" s="203"/>
      <c r="C27" s="204"/>
      <c r="D27" s="205" t="s">
        <v>30</v>
      </c>
      <c r="E27" s="206"/>
      <c r="F27" s="207"/>
      <c r="H27" s="202" t="str">
        <f>CONCATENATE("Rozhodčí: ",IFERROR(VLOOKUP('sk 1-6, 7-12 - Muži'!$AS$13,seznam!$A$2:$C$25,2),""))</f>
        <v>Rozhodčí: Pantlík Daniel</v>
      </c>
      <c r="I27" s="203"/>
      <c r="J27" s="204"/>
      <c r="K27" s="205" t="s">
        <v>30</v>
      </c>
      <c r="L27" s="206"/>
      <c r="M27" s="207"/>
    </row>
    <row r="28" spans="1:13" ht="18" customHeight="1" thickBot="1"/>
    <row r="29" spans="1:13" ht="36" customHeight="1">
      <c r="A29" s="208" t="str">
        <f>'sk 1-6, 7-12 - Muži'!$C$1</f>
        <v>Žebříčkový turnaj - U11 M - II.stupeň</v>
      </c>
      <c r="B29" s="209"/>
      <c r="C29" s="209"/>
      <c r="D29" s="209"/>
      <c r="E29" s="209"/>
      <c r="F29" s="210"/>
      <c r="H29" s="208" t="str">
        <f>'sk 1-6, 7-12 - Muži'!$C$1</f>
        <v>Žebříčkový turnaj - U11 M - II.stupeň</v>
      </c>
      <c r="I29" s="209"/>
      <c r="J29" s="209"/>
      <c r="K29" s="209"/>
      <c r="L29" s="209"/>
      <c r="M29" s="210"/>
    </row>
    <row r="30" spans="1:13" ht="36" customHeight="1" thickBot="1">
      <c r="A30" s="88" t="str">
        <f>CONCATENATE("Sk: M ",MID(INDEX('sk 1-6, 7-12 - Muži'!$C$1:'sk 1-6, 7-12 - Muži'!$C$17,MOD(TRUNC((COLUMN()-1)/7),2 )*15+2,1),LEN("skupina ")+1,10))</f>
        <v>Sk: M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Muži'!$AE$1</f>
        <v>45773</v>
      </c>
      <c r="E30" s="62" t="e">
        <f ca="1">IF(LEN(INDIRECT(CONCATENATE("'sk 1-6, 7-12 - Muži'!AT",INDIRECT(ADDRESS(ROW(),COLUMN()-2)))))=0,"","NEHRÁT")</f>
        <v>#NAME?</v>
      </c>
      <c r="F30" s="89" t="str">
        <f>CONCATENATE("stůl č. ",zápis!I26)</f>
        <v xml:space="preserve">stůl č. </v>
      </c>
      <c r="H30" s="88" t="str">
        <f>CONCATENATE("Sk: M ",MID(INDEX('sk 1-6, 7-12 - Muži'!$C$1:'sk 1-6, 7-12 - Muži'!$C$17,MOD(TRUNC((COLUMN()-1)/7),2 )*15+2,1),LEN("skupina ")+1,10))</f>
        <v>Sk: M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Muži'!$AE$1</f>
        <v>45773</v>
      </c>
      <c r="L30" s="62" t="e">
        <f ca="1">IF(LEN(INDIRECT(CONCATENATE("'sk 1-6, 7-12 - Muži'!AT",INDIRECT(ADDRESS(ROW(),COLUMN()-2)))))=0,"","NEHRÁT")</f>
        <v>#NAME?</v>
      </c>
      <c r="M30" s="89" t="str">
        <f>CONCATENATE("stůl č. ",zápis!I29)</f>
        <v xml:space="preserve">stůl č. </v>
      </c>
    </row>
    <row r="31" spans="1:13" ht="36" customHeight="1" thickBot="1">
      <c r="A31" s="211" t="str">
        <f>CONCATENATE(IF(COUNTIF(seznam!$A$2:$A$25, INDEX('sk 1-6, 7-12 - Muži'!$AP$1:$AP$37,$C30,1) )=1,VLOOKUP(INDEX('sk 1-6, 7-12 - Muži'!$AP$1:$AP$37,$C30,1),seznam!$A$2:$C$25,2,FALSE),"------"),"   (",IF(COUNTIF(seznam!$A$2:$A$25, INDEX('sk 1-6, 7-12 - Muži'!$AP$1:$AP$37,$C30,1) )=1,VLOOKUP( INDEX('sk 1-6, 7-12 - Muži'!$AP$1:$AP$37,$C30,1),seznam!$A$2:$C$25,3,FALSE),"------"),")")</f>
        <v>Kmenta Josef   (SKST Hodonín)</v>
      </c>
      <c r="B31" s="212"/>
      <c r="C31" s="212"/>
      <c r="D31" s="211" t="str">
        <f>CONCATENATE(IF(COUNTIF(seznam!$A$2:$A$25, INDEX('sk 1-6, 7-12 - Muži'!$AQ$1:$AQ$37,$C30,1) )=1,VLOOKUP( INDEX('sk 1-6, 7-12 - Muži'!$AQ$1:$AQ$37,$C30,1),seznam!$A$2:$C$25,2,FALSE),"------"),"   (",IF(COUNTIF(seznam!$A$2:$A$25, INDEX('sk 1-6, 7-12 - Muži'!$AQ$1:$AQ$37,$C30,1) )=1,VLOOKUP( INDEX('sk 1-6, 7-12 - Muži'!$AQ$1:$AQ$37,$C30,1),seznam!$A$2:$C$25,3,FALSE),"------"),")")</f>
        <v>Šimon Samuel   (KST FOSFA LVA)</v>
      </c>
      <c r="E31" s="212"/>
      <c r="F31" s="213"/>
      <c r="H31" s="211" t="str">
        <f>CONCATENATE(IF(COUNTIF(seznam!$A$2:$A$25, INDEX('sk 1-6, 7-12 - Muži'!$AP$1:$AP$37,$J30,1) )=1,VLOOKUP(INDEX('sk 1-6, 7-12 - Muži'!$AP$1:$AP$37,$J30,1),seznam!$A$2:$C$25,2,FALSE),"------"),"   (",IF(COUNTIF(seznam!$A$2:$A$25, INDEX('sk 1-6, 7-12 - Muži'!$AP$1:$AP$37,$J30,1) )=1,VLOOKUP( INDEX('sk 1-6, 7-12 - Muži'!$AP$1:$AP$37,$J30,1),seznam!$A$2:$C$25,3,FALSE),"------"),")")</f>
        <v>Pantlík Daniel   (MK Řeznovice)</v>
      </c>
      <c r="I31" s="212"/>
      <c r="J31" s="212"/>
      <c r="K31" s="211" t="str">
        <f>CONCATENATE(IF(COUNTIF(seznam!$A$2:$A$25, INDEX('sk 1-6, 7-12 - Muži'!$AQ$1:$AQ$37,$J30,1) )=1,VLOOKUP( INDEX('sk 1-6, 7-12 - Muži'!$AQ$1:$AQ$37,$J30,1),seznam!$A$2:$C$25,2,FALSE),"------"),"   (",IF(COUNTIF(seznam!$A$2:$A$25, INDEX('sk 1-6, 7-12 - Muži'!$AQ$1:$AQ$37,$J30,1) )=1,VLOOKUP( INDEX('sk 1-6, 7-12 - Muži'!$AQ$1:$AQ$37,$J30,1),seznam!$A$2:$C$25,3,FALSE),"------"),")")</f>
        <v>Tomeček Richard   (Jiskra Strážnice)</v>
      </c>
      <c r="L31" s="212"/>
      <c r="M31" s="213"/>
    </row>
    <row r="32" spans="1:13" ht="14.25" customHeight="1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>
      <c r="A34" s="202" t="str">
        <f>CONCATENATE("Rozhodčí: ",IFERROR(VLOOKUP('sk 1-6, 7-12 - Muži'!$AS$11,seznam!$A$2:$C$25,2),""))</f>
        <v>Rozhodčí: Látal Jan</v>
      </c>
      <c r="B34" s="203"/>
      <c r="C34" s="204"/>
      <c r="D34" s="205" t="s">
        <v>30</v>
      </c>
      <c r="E34" s="206"/>
      <c r="F34" s="207"/>
      <c r="H34" s="202" t="str">
        <f>CONCATENATE("Rozhodčí: ",IFERROR(VLOOKUP('sk 1-6, 7-12 - Muži'!$AS$14,seznam!$A$2:$C$25,2),""))</f>
        <v>Rozhodčí: Luhan Adam</v>
      </c>
      <c r="I34" s="203"/>
      <c r="J34" s="204"/>
      <c r="K34" s="205" t="s">
        <v>30</v>
      </c>
      <c r="L34" s="206"/>
      <c r="M34" s="207"/>
    </row>
    <row r="35" spans="1:13" ht="18" customHeight="1" thickBot="1"/>
    <row r="36" spans="1:13" ht="36" customHeight="1">
      <c r="A36" s="208" t="str">
        <f>'sk 1-6, 7-12 - Muži'!$C$1</f>
        <v>Žebříčkový turnaj - U11 M - II.stupeň</v>
      </c>
      <c r="B36" s="209"/>
      <c r="C36" s="209"/>
      <c r="D36" s="209"/>
      <c r="E36" s="209"/>
      <c r="F36" s="210"/>
      <c r="H36" s="208" t="str">
        <f>'sk 1-6, 7-12 - Muži'!$C$1</f>
        <v>Žebříčkový turnaj - U11 M - II.stupeň</v>
      </c>
      <c r="I36" s="209"/>
      <c r="J36" s="209"/>
      <c r="K36" s="209"/>
      <c r="L36" s="209"/>
      <c r="M36" s="210"/>
    </row>
    <row r="37" spans="1:13" ht="36" customHeight="1" thickBot="1">
      <c r="A37" s="88" t="str">
        <f>CONCATENATE("Sk: M ",MID(INDEX('sk 1-6, 7-12 - Muži'!$C$1:'sk 1-6, 7-12 - Muži'!$C$17,MOD(TRUNC((COLUMN()-1)/7),2 )*15+2,1),LEN("skupina ")+1,10))</f>
        <v>Sk: M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Muži'!$AE$1</f>
        <v>45773</v>
      </c>
      <c r="E37" s="62" t="str">
        <f ca="1">IF(LEN(INDIRECT(CONCATENATE("'sk 1-6, 7-12 - Muži'!AT",INDIRECT(ADDRESS(ROW(),COLUMN()-2)))))=0,"","NEHRÁT")</f>
        <v>NEHRÁT</v>
      </c>
      <c r="F37" s="89" t="str">
        <f>CONCATENATE("stůl č. ",zápis!I27)</f>
        <v xml:space="preserve">stůl č. </v>
      </c>
      <c r="H37" s="88" t="str">
        <f>CONCATENATE("Sk: M ",MID(INDEX('sk 1-6, 7-12 - Muži'!$C$1:'sk 1-6, 7-12 - Muži'!$C$17,MOD(TRUNC((COLUMN()-1)/7),2 )*15+2,1),LEN("skupina ")+1,10))</f>
        <v>Sk: M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Muži'!$AE$1</f>
        <v>45773</v>
      </c>
      <c r="L37" s="62" t="str">
        <f ca="1">IF(LEN(INDIRECT(CONCATENATE("'sk 1-6, 7-12 - Muži'!AT",INDIRECT(ADDRESS(ROW(),COLUMN()-2)))))=0,"","NEHRÁT")</f>
        <v>NEHRÁT</v>
      </c>
      <c r="M37" s="89" t="str">
        <f>CONCATENATE("stůl č. ",zápis!I30)</f>
        <v xml:space="preserve">stůl č. </v>
      </c>
    </row>
    <row r="38" spans="1:13" ht="36" customHeight="1" thickBot="1">
      <c r="A38" s="211" t="str">
        <f>CONCATENATE(IF(COUNTIF(seznam!$A$2:$A$25, INDEX('sk 1-6, 7-12 - Muži'!$AP$1:$AP$37,$C37,1) )=1,VLOOKUP(INDEX('sk 1-6, 7-12 - Muži'!$AP$1:$AP$37,$C37,1),seznam!$A$2:$C$25,2,FALSE),"------"),"   (",IF(COUNTIF(seznam!$A$2:$A$25, INDEX('sk 1-6, 7-12 - Muži'!$AP$1:$AP$37,$C37,1) )=1,VLOOKUP( INDEX('sk 1-6, 7-12 - Muži'!$AP$1:$AP$37,$C37,1),seznam!$A$2:$C$25,3,FALSE),"------"),")")</f>
        <v>Voráč Pavel   (KST Blansko)</v>
      </c>
      <c r="B38" s="212"/>
      <c r="C38" s="212"/>
      <c r="D38" s="211" t="str">
        <f>CONCATENATE(IF(COUNTIF(seznam!$A$2:$A$25, INDEX('sk 1-6, 7-12 - Muži'!$AQ$1:$AQ$37,$C37,1) )=1,VLOOKUP( INDEX('sk 1-6, 7-12 - Muži'!$AQ$1:$AQ$37,$C37,1),seznam!$A$2:$C$25,2,FALSE),"------"),"   (",IF(COUNTIF(seznam!$A$2:$A$25, INDEX('sk 1-6, 7-12 - Muži'!$AQ$1:$AQ$37,$C37,1) )=1,VLOOKUP( INDEX('sk 1-6, 7-12 - Muži'!$AQ$1:$AQ$37,$C37,1),seznam!$A$2:$C$25,3,FALSE),"------"),")")</f>
        <v>Látal Jan   (Jiskra Strážnice)</v>
      </c>
      <c r="E38" s="212"/>
      <c r="F38" s="213"/>
      <c r="H38" s="211" t="str">
        <f>CONCATENATE(IF(COUNTIF(seznam!$A$2:$A$25, INDEX('sk 1-6, 7-12 - Muži'!$AP$1:$AP$37,$J37,1) )=1,VLOOKUP(INDEX('sk 1-6, 7-12 - Muži'!$AP$1:$AP$37,$J37,1),seznam!$A$2:$C$25,2,FALSE),"------"),"   (",IF(COUNTIF(seznam!$A$2:$A$25, INDEX('sk 1-6, 7-12 - Muži'!$AP$1:$AP$37,$J37,1) )=1,VLOOKUP( INDEX('sk 1-6, 7-12 - Muži'!$AP$1:$AP$37,$J37,1),seznam!$A$2:$C$25,3,FALSE),"------"),")")</f>
        <v>Spěvák Šimon   (KST FOSFA LVA)</v>
      </c>
      <c r="I38" s="212"/>
      <c r="J38" s="212"/>
      <c r="K38" s="211" t="str">
        <f>CONCATENATE(IF(COUNTIF(seznam!$A$2:$A$25, INDEX('sk 1-6, 7-12 - Muži'!$AQ$1:$AQ$37,$J37,1) )=1,VLOOKUP( INDEX('sk 1-6, 7-12 - Muži'!$AQ$1:$AQ$37,$J37,1),seznam!$A$2:$C$25,2,FALSE),"------"),"   (",IF(COUNTIF(seznam!$A$2:$A$25, INDEX('sk 1-6, 7-12 - Muži'!$AQ$1:$AQ$37,$J37,1) )=1,VLOOKUP( INDEX('sk 1-6, 7-12 - Muži'!$AQ$1:$AQ$37,$J37,1),seznam!$A$2:$C$25,3,FALSE),"------"),")")</f>
        <v>Luhan Adam   (MSK Břeclav)</v>
      </c>
      <c r="L38" s="212"/>
      <c r="M38" s="213"/>
    </row>
    <row r="39" spans="1:13" ht="14.25" customHeight="1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>
      <c r="A41" s="202" t="str">
        <f>CONCATENATE("Rozhodčí: ",IFERROR(VLOOKUP('sk 1-6, 7-12 - Muži'!$AS$12,seznam!$A$2:$C$25,2),""))</f>
        <v>Rozhodčí: Omelka Marek</v>
      </c>
      <c r="B41" s="203"/>
      <c r="C41" s="204"/>
      <c r="D41" s="205" t="s">
        <v>30</v>
      </c>
      <c r="E41" s="206"/>
      <c r="F41" s="207"/>
      <c r="H41" s="202" t="str">
        <f>CONCATENATE("Rozhodčí: ",IFERROR(VLOOKUP('sk 1-6, 7-12 - Muži'!$AS$15,seznam!$A$2:$C$25,2),""))</f>
        <v>Rozhodčí: Ides Samuel Hugo</v>
      </c>
      <c r="I41" s="203"/>
      <c r="J41" s="204"/>
      <c r="K41" s="205" t="s">
        <v>30</v>
      </c>
      <c r="L41" s="206"/>
      <c r="M41" s="207"/>
    </row>
    <row r="42" spans="1:13" ht="18" customHeight="1" thickBot="1"/>
    <row r="43" spans="1:13" ht="36" customHeight="1">
      <c r="A43" s="208" t="str">
        <f>'sk 1-6, 7-12 - Muži'!$C$1</f>
        <v>Žebříčkový turnaj - U11 M - II.stupeň</v>
      </c>
      <c r="B43" s="209"/>
      <c r="C43" s="209"/>
      <c r="D43" s="209"/>
      <c r="E43" s="209"/>
      <c r="F43" s="210"/>
      <c r="H43" s="208" t="str">
        <f>'sk 1-6, 7-12 - Muži'!$C$1</f>
        <v>Žebříčkový turnaj - U11 M - II.stupeň</v>
      </c>
      <c r="I43" s="209"/>
      <c r="J43" s="209"/>
      <c r="K43" s="209"/>
      <c r="L43" s="209"/>
      <c r="M43" s="210"/>
    </row>
    <row r="44" spans="1:13" ht="36" customHeight="1" thickBot="1">
      <c r="A44" s="88" t="str">
        <f>CONCATENATE("Sk: M ",MID(INDEX('sk 1-6, 7-12 - Muži'!$C$1:'sk 1-6, 7-12 - Muži'!$C$17,MOD(TRUNC((COLUMN()-1)/7),2 )*15+2,1),LEN("skupina ")+1,10))</f>
        <v>Sk: M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Muži'!$AE$1</f>
        <v>45773</v>
      </c>
      <c r="E44" s="62" t="e">
        <f ca="1">IF(LEN(INDIRECT(CONCATENATE("'sk 1-6, 7-12 - Muži'!AT",INDIRECT(ADDRESS(ROW(),COLUMN()-2)))))=0,"","NEHRÁT")</f>
        <v>#NAME?</v>
      </c>
      <c r="F44" s="89" t="str">
        <f>CONCATENATE("stůl č. ",zápis!I46)</f>
        <v xml:space="preserve">stůl č. </v>
      </c>
      <c r="H44" s="88" t="str">
        <f>CONCATENATE("Sk: M ",MID(INDEX('sk 1-6, 7-12 - Muži'!$C$1:'sk 1-6, 7-12 - Muži'!$C$17,MOD(TRUNC((COLUMN()-1)/7),2 )*15+2,1),LEN("skupina ")+1,10))</f>
        <v>Sk: M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Muži'!$AE$1</f>
        <v>45773</v>
      </c>
      <c r="L44" s="62" t="e">
        <f ca="1">IF(LEN(INDIRECT(CONCATENATE("'sk 1-6, 7-12 - Muži'!AT",INDIRECT(ADDRESS(ROW(),COLUMN()-2)))))=0,"","NEHRÁT")</f>
        <v>#NAME?</v>
      </c>
      <c r="M44" s="89" t="str">
        <f>CONCATENATE("stůl č. ",zápis!I49)</f>
        <v xml:space="preserve">stůl č. </v>
      </c>
    </row>
    <row r="45" spans="1:13" ht="36" customHeight="1" thickBot="1">
      <c r="A45" s="211" t="str">
        <f>CONCATENATE(IF(COUNTIF(seznam!$A$2:$A$25, INDEX('sk 1-6, 7-12 - Muži'!$AP$1:$AP$37,$C44,1) )=1,VLOOKUP(INDEX('sk 1-6, 7-12 - Muži'!$AP$1:$AP$37,$C44,1),seznam!$A$2:$C$25,2,FALSE),"------"),"   (",IF(COUNTIF(seznam!$A$2:$A$25, INDEX('sk 1-6, 7-12 - Muži'!$AP$1:$AP$37,$C44,1) )=1,VLOOKUP( INDEX('sk 1-6, 7-12 - Muži'!$AP$1:$AP$37,$C44,1),seznam!$A$2:$C$25,3,FALSE),"------"),")")</f>
        <v>Látal Jan   (Jiskra Strážnice)</v>
      </c>
      <c r="B45" s="212"/>
      <c r="C45" s="212"/>
      <c r="D45" s="211" t="str">
        <f>CONCATENATE(IF(COUNTIF(seznam!$A$2:$A$25, INDEX('sk 1-6, 7-12 - Muži'!$AQ$1:$AQ$37,$C44,1) )=1,VLOOKUP( INDEX('sk 1-6, 7-12 - Muži'!$AQ$1:$AQ$37,$C44,1),seznam!$A$2:$C$25,2,FALSE),"------"),"   (",IF(COUNTIF(seznam!$A$2:$A$25, INDEX('sk 1-6, 7-12 - Muži'!$AQ$1:$AQ$37,$C44,1) )=1,VLOOKUP( INDEX('sk 1-6, 7-12 - Muži'!$AQ$1:$AQ$37,$C44,1),seznam!$A$2:$C$25,3,FALSE),"------"),")")</f>
        <v>Omelka Marek   (KST FOSFA LVA)</v>
      </c>
      <c r="E45" s="212"/>
      <c r="F45" s="213"/>
      <c r="H45" s="211" t="str">
        <f>CONCATENATE(IF(COUNTIF(seznam!$A$2:$A$25, INDEX('sk 1-6, 7-12 - Muži'!$AP$1:$AP$37,$J44,1) )=1,VLOOKUP(INDEX('sk 1-6, 7-12 - Muži'!$AP$1:$AP$37,$J44,1),seznam!$A$2:$C$25,2,FALSE),"------"),"   (",IF(COUNTIF(seznam!$A$2:$A$25, INDEX('sk 1-6, 7-12 - Muži'!$AP$1:$AP$37,$J44,1) )=1,VLOOKUP( INDEX('sk 1-6, 7-12 - Muži'!$AP$1:$AP$37,$J44,1),seznam!$A$2:$C$25,3,FALSE),"------"),")")</f>
        <v>Luhan Adam   (MSK Břeclav)</v>
      </c>
      <c r="I45" s="212"/>
      <c r="J45" s="212"/>
      <c r="K45" s="211" t="str">
        <f>CONCATENATE(IF(COUNTIF(seznam!$A$2:$A$25, INDEX('sk 1-6, 7-12 - Muži'!$AQ$1:$AQ$37,$J44,1) )=1,VLOOKUP( INDEX('sk 1-6, 7-12 - Muži'!$AQ$1:$AQ$37,$J44,1),seznam!$A$2:$C$25,2,FALSE),"------"),"   (",IF(COUNTIF(seznam!$A$2:$A$25, INDEX('sk 1-6, 7-12 - Muži'!$AQ$1:$AQ$37,$J44,1) )=1,VLOOKUP( INDEX('sk 1-6, 7-12 - Muži'!$AQ$1:$AQ$37,$J44,1),seznam!$A$2:$C$25,3,FALSE),"------"),")")</f>
        <v>Ides Samuel Hugo   (Sokol Brno I)</v>
      </c>
      <c r="L45" s="212"/>
      <c r="M45" s="213"/>
    </row>
    <row r="46" spans="1:13" ht="14.25" customHeight="1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>
      <c r="A48" s="202" t="str">
        <f>CONCATENATE("Rozhodčí: ",IFERROR(VLOOKUP('sk 1-6, 7-12 - Muži'!$AS$17,seznam!$A$2:$C$25,2),""))</f>
        <v>Rozhodčí: Peťura Patrik</v>
      </c>
      <c r="B48" s="203"/>
      <c r="C48" s="204"/>
      <c r="D48" s="205" t="s">
        <v>30</v>
      </c>
      <c r="E48" s="206"/>
      <c r="F48" s="207"/>
      <c r="H48" s="202" t="str">
        <f>CONCATENATE("Rozhodčí: ",IFERROR(VLOOKUP('sk 1-6, 7-12 - Muži'!$AS$20,seznam!$A$2:$C$25,2),""))</f>
        <v>Rozhodčí: Plotzer Robin</v>
      </c>
      <c r="I48" s="203"/>
      <c r="J48" s="204"/>
      <c r="K48" s="205" t="s">
        <v>30</v>
      </c>
      <c r="L48" s="206"/>
      <c r="M48" s="207"/>
    </row>
    <row r="49" spans="1:13" ht="18" customHeight="1" thickBot="1"/>
    <row r="50" spans="1:13" ht="36" customHeight="1">
      <c r="A50" s="208" t="str">
        <f>'sk 1-6, 7-12 - Muži'!$C$1</f>
        <v>Žebříčkový turnaj - U11 M - II.stupeň</v>
      </c>
      <c r="B50" s="209"/>
      <c r="C50" s="209"/>
      <c r="D50" s="209"/>
      <c r="E50" s="209"/>
      <c r="F50" s="210"/>
      <c r="H50" s="208" t="str">
        <f>'sk 1-6, 7-12 - Muži'!$C$1</f>
        <v>Žebříčkový turnaj - U11 M - II.stupeň</v>
      </c>
      <c r="I50" s="209"/>
      <c r="J50" s="209"/>
      <c r="K50" s="209"/>
      <c r="L50" s="209"/>
      <c r="M50" s="210"/>
    </row>
    <row r="51" spans="1:13" ht="36" customHeight="1" thickBot="1">
      <c r="A51" s="88" t="str">
        <f>CONCATENATE("Sk: M ",MID(INDEX('sk 1-6, 7-12 - Muži'!$C$1:'sk 1-6, 7-12 - Muži'!$C$17,MOD(TRUNC((COLUMN()-1)/7),2 )*15+2,1),LEN("skupina ")+1,10))</f>
        <v>Sk: M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Muži'!$AE$1</f>
        <v>45773</v>
      </c>
      <c r="E51" s="62" t="str">
        <f ca="1">IF(LEN(INDIRECT(CONCATENATE("'sk 1-6, 7-12 - Muži'!AT",INDIRECT(ADDRESS(ROW(),COLUMN()-2)))))=0,"","NEHRÁT")</f>
        <v>NEHRÁT</v>
      </c>
      <c r="F51" s="89" t="str">
        <f>CONCATENATE("stůl č. ",zápis!I47)</f>
        <v xml:space="preserve">stůl č. </v>
      </c>
      <c r="H51" s="88" t="str">
        <f>CONCATENATE("Sk: M ",MID(INDEX('sk 1-6, 7-12 - Muži'!$C$1:'sk 1-6, 7-12 - Muži'!$C$17,MOD(TRUNC((COLUMN()-1)/7),2 )*15+2,1),LEN("skupina ")+1,10))</f>
        <v>Sk: M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Muži'!$AE$1</f>
        <v>45773</v>
      </c>
      <c r="L51" s="62" t="str">
        <f ca="1">IF(LEN(INDIRECT(CONCATENATE("'sk 1-6, 7-12 - Muži'!AT",INDIRECT(ADDRESS(ROW(),COLUMN()-2)))))=0,"","NEHRÁT")</f>
        <v>NEHRÁT</v>
      </c>
      <c r="M51" s="89" t="str">
        <f>CONCATENATE("stůl č. ",zápis!I50)</f>
        <v xml:space="preserve">stůl č. </v>
      </c>
    </row>
    <row r="52" spans="1:13" ht="36" customHeight="1" thickBot="1">
      <c r="A52" s="211" t="str">
        <f>CONCATENATE(IF(COUNTIF(seznam!$A$2:$A$25, INDEX('sk 1-6, 7-12 - Muži'!$AP$1:$AP$37,$C51,1) )=1,VLOOKUP(INDEX('sk 1-6, 7-12 - Muži'!$AP$1:$AP$37,$C51,1),seznam!$A$2:$C$25,2,FALSE),"------"),"   (",IF(COUNTIF(seznam!$A$2:$A$25, INDEX('sk 1-6, 7-12 - Muži'!$AP$1:$AP$37,$C51,1) )=1,VLOOKUP( INDEX('sk 1-6, 7-12 - Muži'!$AP$1:$AP$37,$C51,1),seznam!$A$2:$C$25,3,FALSE),"------"),")")</f>
        <v>Šimon Samuel   (KST FOSFA LVA)</v>
      </c>
      <c r="B52" s="212"/>
      <c r="C52" s="212"/>
      <c r="D52" s="211" t="str">
        <f>CONCATENATE(IF(COUNTIF(seznam!$A$2:$A$25, INDEX('sk 1-6, 7-12 - Muži'!$AQ$1:$AQ$37,$C51,1) )=1,VLOOKUP( INDEX('sk 1-6, 7-12 - Muži'!$AQ$1:$AQ$37,$C51,1),seznam!$A$2:$C$25,2,FALSE),"------"),"   (",IF(COUNTIF(seznam!$A$2:$A$25, INDEX('sk 1-6, 7-12 - Muži'!$AQ$1:$AQ$37,$C51,1) )=1,VLOOKUP( INDEX('sk 1-6, 7-12 - Muži'!$AQ$1:$AQ$37,$C51,1),seznam!$A$2:$C$25,3,FALSE),"------"),")")</f>
        <v>Voráč Pavel   (KST Blansko)</v>
      </c>
      <c r="E52" s="212"/>
      <c r="F52" s="213"/>
      <c r="H52" s="211" t="str">
        <f>CONCATENATE(IF(COUNTIF(seznam!$A$2:$A$25, INDEX('sk 1-6, 7-12 - Muži'!$AP$1:$AP$37,$J51,1) )=1,VLOOKUP(INDEX('sk 1-6, 7-12 - Muži'!$AP$1:$AP$37,$J51,1),seznam!$A$2:$C$25,2,FALSE),"------"),"   (",IF(COUNTIF(seznam!$A$2:$A$25, INDEX('sk 1-6, 7-12 - Muži'!$AP$1:$AP$37,$J51,1) )=1,VLOOKUP( INDEX('sk 1-6, 7-12 - Muži'!$AP$1:$AP$37,$J51,1),seznam!$A$2:$C$25,3,FALSE),"------"),")")</f>
        <v>Tomeček Richard   (Jiskra Strážnice)</v>
      </c>
      <c r="I52" s="212"/>
      <c r="J52" s="212"/>
      <c r="K52" s="211" t="str">
        <f>CONCATENATE(IF(COUNTIF(seznam!$A$2:$A$25, INDEX('sk 1-6, 7-12 - Muži'!$AQ$1:$AQ$37,$J51,1) )=1,VLOOKUP( INDEX('sk 1-6, 7-12 - Muži'!$AQ$1:$AQ$37,$J51,1),seznam!$A$2:$C$25,2,FALSE),"------"),"   (",IF(COUNTIF(seznam!$A$2:$A$25, INDEX('sk 1-6, 7-12 - Muži'!$AQ$1:$AQ$37,$J51,1) )=1,VLOOKUP( INDEX('sk 1-6, 7-12 - Muži'!$AQ$1:$AQ$37,$J51,1),seznam!$A$2:$C$25,3,FALSE),"------"),")")</f>
        <v>Spěvák Šimon   (KST FOSFA LVA)</v>
      </c>
      <c r="L52" s="212"/>
      <c r="M52" s="213"/>
    </row>
    <row r="53" spans="1:13" ht="14.25" customHeight="1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>
      <c r="A55" s="202" t="str">
        <f>CONCATENATE("Rozhodčí: ",IFERROR(VLOOKUP('sk 1-6, 7-12 - Muži'!$AS$18,seznam!$A$2:$C$25,2),""))</f>
        <v>Rozhodčí: Kmenta Josef</v>
      </c>
      <c r="B55" s="203"/>
      <c r="C55" s="204"/>
      <c r="D55" s="205" t="s">
        <v>30</v>
      </c>
      <c r="E55" s="206"/>
      <c r="F55" s="207"/>
      <c r="H55" s="202" t="str">
        <f>CONCATENATE("Rozhodčí: ",IFERROR(VLOOKUP('sk 1-6, 7-12 - Muži'!$AS$21,seznam!$A$2:$C$25,2),""))</f>
        <v>Rozhodčí: Pantlík Daniel</v>
      </c>
      <c r="I55" s="203"/>
      <c r="J55" s="204"/>
      <c r="K55" s="205" t="s">
        <v>30</v>
      </c>
      <c r="L55" s="206"/>
      <c r="M55" s="207"/>
    </row>
    <row r="56" spans="1:13" ht="18" customHeight="1" thickBot="1"/>
    <row r="57" spans="1:13" ht="36" customHeight="1">
      <c r="A57" s="208" t="str">
        <f>'sk 1-6, 7-12 - Muži'!$C$1</f>
        <v>Žebříčkový turnaj - U11 M - II.stupeň</v>
      </c>
      <c r="B57" s="209"/>
      <c r="C57" s="209"/>
      <c r="D57" s="209"/>
      <c r="E57" s="209"/>
      <c r="F57" s="210"/>
      <c r="H57" s="208" t="str">
        <f>'sk 1-6, 7-12 - Muži'!$C$1</f>
        <v>Žebříčkový turnaj - U11 M - II.stupeň</v>
      </c>
      <c r="I57" s="209"/>
      <c r="J57" s="209"/>
      <c r="K57" s="209"/>
      <c r="L57" s="209"/>
      <c r="M57" s="210"/>
    </row>
    <row r="58" spans="1:13" ht="36" customHeight="1" thickBot="1">
      <c r="A58" s="88" t="str">
        <f>CONCATENATE("Sk: M ",MID(INDEX('sk 1-6, 7-12 - Muži'!$C$1:'sk 1-6, 7-12 - Muži'!$C$17,MOD(TRUNC((COLUMN()-1)/7),2 )*15+2,1),LEN("skupina ")+1,10))</f>
        <v>Sk: M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Muži'!$AE$1</f>
        <v>45773</v>
      </c>
      <c r="E58" s="62" t="str">
        <f ca="1">IF(LEN(INDIRECT(CONCATENATE("'sk 1-6, 7-12 - Muži'!AT",INDIRECT(ADDRESS(ROW(),COLUMN()-2)))))=0,"","NEHRÁT")</f>
        <v>NEHRÁT</v>
      </c>
      <c r="F58" s="89" t="str">
        <f>CONCATENATE("stůl č. ",zápis!I48)</f>
        <v xml:space="preserve">stůl č. </v>
      </c>
      <c r="H58" s="88" t="str">
        <f>CONCATENATE("Sk: M ",MID(INDEX('sk 1-6, 7-12 - Muži'!$C$1:'sk 1-6, 7-12 - Muži'!$C$17,MOD(TRUNC((COLUMN()-1)/7),2 )*15+2,1),LEN("skupina ")+1,10))</f>
        <v>Sk: M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Muži'!$AE$1</f>
        <v>45773</v>
      </c>
      <c r="L58" s="62" t="str">
        <f ca="1">IF(LEN(INDIRECT(CONCATENATE("'sk 1-6, 7-12 - Muži'!AT",INDIRECT(ADDRESS(ROW(),COLUMN()-2)))))=0,"","NEHRÁT")</f>
        <v>NEHRÁT</v>
      </c>
      <c r="M58" s="89" t="str">
        <f>CONCATENATE("stůl č. ",zápis!I51)</f>
        <v xml:space="preserve">stůl č. </v>
      </c>
    </row>
    <row r="59" spans="1:13" ht="36" customHeight="1" thickBot="1">
      <c r="A59" s="211" t="str">
        <f>CONCATENATE(IF(COUNTIF(seznam!$A$2:$A$25, INDEX('sk 1-6, 7-12 - Muži'!$AP$1:$AP$37,$C58,1) )=1,VLOOKUP(INDEX('sk 1-6, 7-12 - Muži'!$AP$1:$AP$37,$C58,1),seznam!$A$2:$C$25,2,FALSE),"------"),"   (",IF(COUNTIF(seznam!$A$2:$A$25, INDEX('sk 1-6, 7-12 - Muži'!$AP$1:$AP$37,$C58,1) )=1,VLOOKUP( INDEX('sk 1-6, 7-12 - Muži'!$AP$1:$AP$37,$C58,1),seznam!$A$2:$C$25,3,FALSE),"------"),")")</f>
        <v>Peťura Patrik   (Jiskra Strážnice)</v>
      </c>
      <c r="B59" s="212"/>
      <c r="C59" s="212"/>
      <c r="D59" s="211" t="str">
        <f>CONCATENATE(IF(COUNTIF(seznam!$A$2:$A$25, INDEX('sk 1-6, 7-12 - Muži'!$AQ$1:$AQ$37,$C58,1) )=1,VLOOKUP( INDEX('sk 1-6, 7-12 - Muži'!$AQ$1:$AQ$37,$C58,1),seznam!$A$2:$C$25,2,FALSE),"------"),"   (",IF(COUNTIF(seznam!$A$2:$A$25, INDEX('sk 1-6, 7-12 - Muži'!$AQ$1:$AQ$37,$C58,1) )=1,VLOOKUP( INDEX('sk 1-6, 7-12 - Muži'!$AQ$1:$AQ$37,$C58,1),seznam!$A$2:$C$25,3,FALSE),"------"),")")</f>
        <v>Kmenta Josef   (SKST Hodonín)</v>
      </c>
      <c r="E59" s="212"/>
      <c r="F59" s="213"/>
      <c r="H59" s="211" t="str">
        <f>CONCATENATE(IF(COUNTIF(seznam!$A$2:$A$25, INDEX('sk 1-6, 7-12 - Muži'!$AP$1:$AP$37,$J58,1) )=1,VLOOKUP(INDEX('sk 1-6, 7-12 - Muži'!$AP$1:$AP$37,$J58,1),seznam!$A$2:$C$25,2,FALSE),"------"),"   (",IF(COUNTIF(seznam!$A$2:$A$25, INDEX('sk 1-6, 7-12 - Muži'!$AP$1:$AP$37,$J58,1) )=1,VLOOKUP( INDEX('sk 1-6, 7-12 - Muži'!$AP$1:$AP$37,$J58,1),seznam!$A$2:$C$25,3,FALSE),"------"),")")</f>
        <v>Plotzer Robin   (MK Řeznovice)</v>
      </c>
      <c r="I59" s="212"/>
      <c r="J59" s="212"/>
      <c r="K59" s="211" t="str">
        <f>CONCATENATE(IF(COUNTIF(seznam!$A$2:$A$25, INDEX('sk 1-6, 7-12 - Muži'!$AQ$1:$AQ$37,$J58,1) )=1,VLOOKUP( INDEX('sk 1-6, 7-12 - Muži'!$AQ$1:$AQ$37,$J58,1),seznam!$A$2:$C$25,2,FALSE),"------"),"   (",IF(COUNTIF(seznam!$A$2:$A$25, INDEX('sk 1-6, 7-12 - Muži'!$AQ$1:$AQ$37,$J58,1) )=1,VLOOKUP( INDEX('sk 1-6, 7-12 - Muži'!$AQ$1:$AQ$37,$J58,1),seznam!$A$2:$C$25,3,FALSE),"------"),")")</f>
        <v>Pantlík Daniel   (MK Řeznovice)</v>
      </c>
      <c r="L59" s="212"/>
      <c r="M59" s="213"/>
    </row>
    <row r="60" spans="1:13" ht="14.25" customHeight="1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>
      <c r="A62" s="202" t="str">
        <f>CONCATENATE("Rozhodčí: ",IFERROR(VLOOKUP('sk 1-6, 7-12 - Muži'!$AS$19,seznam!$A$2:$C$25,2),""))</f>
        <v>Rozhodčí: Látal Jan</v>
      </c>
      <c r="B62" s="203"/>
      <c r="C62" s="204"/>
      <c r="D62" s="205" t="s">
        <v>30</v>
      </c>
      <c r="E62" s="206"/>
      <c r="F62" s="207"/>
      <c r="H62" s="202" t="str">
        <f>CONCATENATE("Rozhodčí: ",IFERROR(VLOOKUP('sk 1-6, 7-12 - Muži'!$AS$22,seznam!$A$2:$C$25,2),""))</f>
        <v>Rozhodčí: Luhan Adam</v>
      </c>
      <c r="I62" s="203"/>
      <c r="J62" s="204"/>
      <c r="K62" s="205" t="s">
        <v>30</v>
      </c>
      <c r="L62" s="206"/>
      <c r="M62" s="207"/>
    </row>
    <row r="63" spans="1:13" ht="18" customHeight="1" thickBot="1"/>
    <row r="64" spans="1:13" ht="36" customHeight="1">
      <c r="A64" s="208" t="str">
        <f>'sk 1-6, 7-12 - Muži'!$C$1</f>
        <v>Žebříčkový turnaj - U11 M - II.stupeň</v>
      </c>
      <c r="B64" s="209"/>
      <c r="C64" s="209"/>
      <c r="D64" s="209"/>
      <c r="E64" s="209"/>
      <c r="F64" s="210"/>
      <c r="H64" s="208" t="str">
        <f>'sk 1-6, 7-12 - Muži'!$C$1</f>
        <v>Žebříčkový turnaj - U11 M - II.stupeň</v>
      </c>
      <c r="I64" s="209"/>
      <c r="J64" s="209"/>
      <c r="K64" s="209"/>
      <c r="L64" s="209"/>
      <c r="M64" s="210"/>
    </row>
    <row r="65" spans="1:13" ht="36" customHeight="1" thickBot="1">
      <c r="A65" s="88" t="str">
        <f>CONCATENATE("Sk: M ",MID(INDEX('sk 1-6, 7-12 - Muži'!$C$1:'sk 1-6, 7-12 - Muži'!$C$17,MOD(TRUNC((COLUMN()-1)/7),2 )*15+2,1),LEN("skupina ")+1,10))</f>
        <v>Sk: M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Muži'!$AE$1</f>
        <v>45773</v>
      </c>
      <c r="E65" s="62" t="str">
        <f ca="1">IF(LEN(INDIRECT(CONCATENATE("'sk 1-6, 7-12 - Muži'!AT",INDIRECT(ADDRESS(ROW(),COLUMN()-2)))))=0,"","NEHRÁT")</f>
        <v>NEHRÁT</v>
      </c>
      <c r="F65" s="89" t="str">
        <f>CONCATENATE("stůl č. ",zápis!I67)</f>
        <v xml:space="preserve">stůl č. </v>
      </c>
      <c r="H65" s="88" t="str">
        <f>CONCATENATE("Sk: M ",MID(INDEX('sk 1-6, 7-12 - Muži'!$C$1:'sk 1-6, 7-12 - Muži'!$C$17,MOD(TRUNC((COLUMN()-1)/7),2 )*15+2,1),LEN("skupina ")+1,10))</f>
        <v>Sk: M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Muži'!$AE$1</f>
        <v>45773</v>
      </c>
      <c r="L65" s="62" t="str">
        <f ca="1">IF(LEN(INDIRECT(CONCATENATE("'sk 1-6, 7-12 - Muži'!AT",INDIRECT(ADDRESS(ROW(),COLUMN()-2)))))=0,"","NEHRÁT")</f>
        <v>NEHRÁT</v>
      </c>
      <c r="M65" s="89" t="str">
        <f>CONCATENATE("stůl č. ",zápis!I70)</f>
        <v xml:space="preserve">stůl č. </v>
      </c>
    </row>
    <row r="66" spans="1:13" ht="36" customHeight="1" thickBot="1">
      <c r="A66" s="211" t="str">
        <f>CONCATENATE(IF(COUNTIF(seznam!$A$2:$A$25, INDEX('sk 1-6, 7-12 - Muži'!$AP$1:$AP$37,$C65,1) )=1,VLOOKUP(INDEX('sk 1-6, 7-12 - Muži'!$AP$1:$AP$37,$C65,1),seznam!$A$2:$C$25,2,FALSE),"------"),"   (",IF(COUNTIF(seznam!$A$2:$A$25, INDEX('sk 1-6, 7-12 - Muži'!$AP$1:$AP$37,$C65,1) )=1,VLOOKUP( INDEX('sk 1-6, 7-12 - Muži'!$AP$1:$AP$37,$C65,1),seznam!$A$2:$C$25,3,FALSE),"------"),")")</f>
        <v>Omelka Marek   (KST FOSFA LVA)</v>
      </c>
      <c r="B66" s="212"/>
      <c r="C66" s="212"/>
      <c r="D66" s="211" t="str">
        <f>CONCATENATE(IF(COUNTIF(seznam!$A$2:$A$25, INDEX('sk 1-6, 7-12 - Muži'!$AQ$1:$AQ$37,$C65,1) )=1,VLOOKUP( INDEX('sk 1-6, 7-12 - Muži'!$AQ$1:$AQ$37,$C65,1),seznam!$A$2:$C$25,2,FALSE),"------"),"   (",IF(COUNTIF(seznam!$A$2:$A$25, INDEX('sk 1-6, 7-12 - Muži'!$AQ$1:$AQ$37,$C65,1) )=1,VLOOKUP( INDEX('sk 1-6, 7-12 - Muži'!$AQ$1:$AQ$37,$C65,1),seznam!$A$2:$C$25,3,FALSE),"------"),")")</f>
        <v>Kmenta Josef   (SKST Hodonín)</v>
      </c>
      <c r="E66" s="212"/>
      <c r="F66" s="213"/>
      <c r="H66" s="211" t="str">
        <f>CONCATENATE(IF(COUNTIF(seznam!$A$2:$A$25, INDEX('sk 1-6, 7-12 - Muži'!$AP$1:$AP$37,$J65,1) )=1,VLOOKUP(INDEX('sk 1-6, 7-12 - Muži'!$AP$1:$AP$37,$J65,1),seznam!$A$2:$C$25,2,FALSE),"------"),"   (",IF(COUNTIF(seznam!$A$2:$A$25, INDEX('sk 1-6, 7-12 - Muži'!$AP$1:$AP$37,$J65,1) )=1,VLOOKUP( INDEX('sk 1-6, 7-12 - Muži'!$AP$1:$AP$37,$J65,1),seznam!$A$2:$C$25,3,FALSE),"------"),")")</f>
        <v>Ides Samuel Hugo   (Sokol Brno I)</v>
      </c>
      <c r="I66" s="212"/>
      <c r="J66" s="212"/>
      <c r="K66" s="211" t="str">
        <f>CONCATENATE(IF(COUNTIF(seznam!$A$2:$A$25, INDEX('sk 1-6, 7-12 - Muži'!$AQ$1:$AQ$37,$J65,1) )=1,VLOOKUP( INDEX('sk 1-6, 7-12 - Muži'!$AQ$1:$AQ$37,$J65,1),seznam!$A$2:$C$25,2,FALSE),"------"),"   (",IF(COUNTIF(seznam!$A$2:$A$25, INDEX('sk 1-6, 7-12 - Muži'!$AQ$1:$AQ$37,$J65,1) )=1,VLOOKUP( INDEX('sk 1-6, 7-12 - Muži'!$AQ$1:$AQ$37,$J65,1),seznam!$A$2:$C$25,3,FALSE),"------"),")")</f>
        <v>Pantlík Daniel   (MK Řeznovice)</v>
      </c>
      <c r="L66" s="212"/>
      <c r="M66" s="213"/>
    </row>
    <row r="67" spans="1:13" ht="14.25" customHeight="1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>
      <c r="A69" s="202" t="str">
        <f>CONCATENATE("Rozhodčí: ",IFERROR(VLOOKUP('sk 1-6, 7-12 - Muži'!$AS$24,seznam!$A$2:$C$25,2),""))</f>
        <v>Rozhodčí: Šimon Samuel</v>
      </c>
      <c r="B69" s="203"/>
      <c r="C69" s="204"/>
      <c r="D69" s="205" t="s">
        <v>30</v>
      </c>
      <c r="E69" s="206"/>
      <c r="F69" s="207"/>
      <c r="H69" s="202" t="str">
        <f>CONCATENATE("Rozhodčí: ",IFERROR(VLOOKUP('sk 1-6, 7-12 - Muži'!$AS$27,seznam!$A$2:$C$25,2),""))</f>
        <v>Rozhodčí: Tomeček Richard</v>
      </c>
      <c r="I69" s="203"/>
      <c r="J69" s="204"/>
      <c r="K69" s="205" t="s">
        <v>30</v>
      </c>
      <c r="L69" s="206"/>
      <c r="M69" s="207"/>
    </row>
    <row r="70" spans="1:13" ht="18" customHeight="1" thickBot="1"/>
    <row r="71" spans="1:13" ht="36" customHeight="1">
      <c r="A71" s="208" t="str">
        <f>'sk 1-6, 7-12 - Muži'!$C$1</f>
        <v>Žebříčkový turnaj - U11 M - II.stupeň</v>
      </c>
      <c r="B71" s="209"/>
      <c r="C71" s="209"/>
      <c r="D71" s="209"/>
      <c r="E71" s="209"/>
      <c r="F71" s="210"/>
      <c r="H71" s="208" t="str">
        <f>'sk 1-6, 7-12 - Muži'!$C$1</f>
        <v>Žebříčkový turnaj - U11 M - II.stupeň</v>
      </c>
      <c r="I71" s="209"/>
      <c r="J71" s="209"/>
      <c r="K71" s="209"/>
      <c r="L71" s="209"/>
      <c r="M71" s="210"/>
    </row>
    <row r="72" spans="1:13" ht="36" customHeight="1" thickBot="1">
      <c r="A72" s="88" t="str">
        <f>CONCATENATE("Sk: M ",MID(INDEX('sk 1-6, 7-12 - Muži'!$C$1:'sk 1-6, 7-12 - Muži'!$C$17,MOD(TRUNC((COLUMN()-1)/7),2 )*15+2,1),LEN("skupina ")+1,10))</f>
        <v>Sk: M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Muži'!$AE$1</f>
        <v>45773</v>
      </c>
      <c r="E72" s="62" t="e">
        <f ca="1">IF(LEN(INDIRECT(CONCATENATE("'sk 1-6, 7-12 - Muži'!AT",INDIRECT(ADDRESS(ROW(),COLUMN()-2)))))=0,"","NEHRÁT")</f>
        <v>#NAME?</v>
      </c>
      <c r="F72" s="89" t="str">
        <f>CONCATENATE("stůl č. ",zápis!I68)</f>
        <v xml:space="preserve">stůl č. </v>
      </c>
      <c r="H72" s="88" t="str">
        <f>CONCATENATE("Sk: M ",MID(INDEX('sk 1-6, 7-12 - Muži'!$C$1:'sk 1-6, 7-12 - Muži'!$C$17,MOD(TRUNC((COLUMN()-1)/7),2 )*15+2,1),LEN("skupina ")+1,10))</f>
        <v>Sk: M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Muži'!$AE$1</f>
        <v>45773</v>
      </c>
      <c r="L72" s="62" t="e">
        <f ca="1">IF(LEN(INDIRECT(CONCATENATE("'sk 1-6, 7-12 - Muži'!AT",INDIRECT(ADDRESS(ROW(),COLUMN()-2)))))=0,"","NEHRÁT")</f>
        <v>#NAME?</v>
      </c>
      <c r="M72" s="89" t="str">
        <f>CONCATENATE("stůl č. ",zápis!I71)</f>
        <v xml:space="preserve">stůl č. </v>
      </c>
    </row>
    <row r="73" spans="1:13" ht="36" customHeight="1" thickBot="1">
      <c r="A73" s="211" t="str">
        <f>CONCATENATE(IF(COUNTIF(seznam!$A$2:$A$25, INDEX('sk 1-6, 7-12 - Muži'!$AP$1:$AP$37,$C72,1) )=1,VLOOKUP(INDEX('sk 1-6, 7-12 - Muži'!$AP$1:$AP$37,$C72,1),seznam!$A$2:$C$25,2,FALSE),"------"),"   (",IF(COUNTIF(seznam!$A$2:$A$25, INDEX('sk 1-6, 7-12 - Muži'!$AP$1:$AP$37,$C72,1) )=1,VLOOKUP( INDEX('sk 1-6, 7-12 - Muži'!$AP$1:$AP$37,$C72,1),seznam!$A$2:$C$25,3,FALSE),"------"),")")</f>
        <v>Voráč Pavel   (KST Blansko)</v>
      </c>
      <c r="B73" s="212"/>
      <c r="C73" s="212"/>
      <c r="D73" s="211" t="str">
        <f>CONCATENATE(IF(COUNTIF(seznam!$A$2:$A$25, INDEX('sk 1-6, 7-12 - Muži'!$AQ$1:$AQ$37,$C72,1) )=1,VLOOKUP( INDEX('sk 1-6, 7-12 - Muži'!$AQ$1:$AQ$37,$C72,1),seznam!$A$2:$C$25,2,FALSE),"------"),"   (",IF(COUNTIF(seznam!$A$2:$A$25, INDEX('sk 1-6, 7-12 - Muži'!$AQ$1:$AQ$37,$C72,1) )=1,VLOOKUP( INDEX('sk 1-6, 7-12 - Muži'!$AQ$1:$AQ$37,$C72,1),seznam!$A$2:$C$25,3,FALSE),"------"),")")</f>
        <v>Peťura Patrik   (Jiskra Strážnice)</v>
      </c>
      <c r="E73" s="212"/>
      <c r="F73" s="213"/>
      <c r="H73" s="211" t="str">
        <f>CONCATENATE(IF(COUNTIF(seznam!$A$2:$A$25, INDEX('sk 1-6, 7-12 - Muži'!$AP$1:$AP$37,$J72,1) )=1,VLOOKUP(INDEX('sk 1-6, 7-12 - Muži'!$AP$1:$AP$37,$J72,1),seznam!$A$2:$C$25,2,FALSE),"------"),"   (",IF(COUNTIF(seznam!$A$2:$A$25, INDEX('sk 1-6, 7-12 - Muži'!$AP$1:$AP$37,$J72,1) )=1,VLOOKUP( INDEX('sk 1-6, 7-12 - Muži'!$AP$1:$AP$37,$J72,1),seznam!$A$2:$C$25,3,FALSE),"------"),")")</f>
        <v>Spěvák Šimon   (KST FOSFA LVA)</v>
      </c>
      <c r="I73" s="212"/>
      <c r="J73" s="212"/>
      <c r="K73" s="211" t="str">
        <f>CONCATENATE(IF(COUNTIF(seznam!$A$2:$A$25, INDEX('sk 1-6, 7-12 - Muži'!$AQ$1:$AQ$37,$J72,1) )=1,VLOOKUP( INDEX('sk 1-6, 7-12 - Muži'!$AQ$1:$AQ$37,$J72,1),seznam!$A$2:$C$25,2,FALSE),"------"),"   (",IF(COUNTIF(seznam!$A$2:$A$25, INDEX('sk 1-6, 7-12 - Muži'!$AQ$1:$AQ$37,$J72,1) )=1,VLOOKUP( INDEX('sk 1-6, 7-12 - Muži'!$AQ$1:$AQ$37,$J72,1),seznam!$A$2:$C$25,3,FALSE),"------"),")")</f>
        <v>Plotzer Robin   (MK Řeznovice)</v>
      </c>
      <c r="L73" s="212"/>
      <c r="M73" s="213"/>
    </row>
    <row r="74" spans="1:13" ht="14.25" customHeight="1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>
      <c r="A76" s="202" t="str">
        <f>CONCATENATE("Rozhodčí: ",IFERROR(VLOOKUP('sk 1-6, 7-12 - Muži'!$AS$25,seznam!$A$2:$C$25,2),""))</f>
        <v>Rozhodčí: Omelka Marek</v>
      </c>
      <c r="B76" s="203"/>
      <c r="C76" s="204"/>
      <c r="D76" s="205" t="s">
        <v>30</v>
      </c>
      <c r="E76" s="206"/>
      <c r="F76" s="207"/>
      <c r="H76" s="202" t="str">
        <f>CONCATENATE("Rozhodčí: ",IFERROR(VLOOKUP('sk 1-6, 7-12 - Muži'!$AS$28,seznam!$A$2:$C$25,2),""))</f>
        <v>Rozhodčí: Ides Samuel Hugo</v>
      </c>
      <c r="I76" s="203"/>
      <c r="J76" s="204"/>
      <c r="K76" s="205" t="s">
        <v>30</v>
      </c>
      <c r="L76" s="206"/>
      <c r="M76" s="207"/>
    </row>
    <row r="77" spans="1:13" ht="18" customHeight="1" thickBot="1"/>
    <row r="78" spans="1:13" ht="36" customHeight="1">
      <c r="A78" s="208" t="str">
        <f>'sk 1-6, 7-12 - Muži'!$C$1</f>
        <v>Žebříčkový turnaj - U11 M - II.stupeň</v>
      </c>
      <c r="B78" s="209"/>
      <c r="C78" s="209"/>
      <c r="D78" s="209"/>
      <c r="E78" s="209"/>
      <c r="F78" s="210"/>
      <c r="H78" s="208" t="str">
        <f>'sk 1-6, 7-12 - Muži'!$C$1</f>
        <v>Žebříčkový turnaj - U11 M - II.stupeň</v>
      </c>
      <c r="I78" s="209"/>
      <c r="J78" s="209"/>
      <c r="K78" s="209"/>
      <c r="L78" s="209"/>
      <c r="M78" s="210"/>
    </row>
    <row r="79" spans="1:13" ht="36" customHeight="1" thickBot="1">
      <c r="A79" s="88" t="str">
        <f>CONCATENATE("Sk: M ",MID(INDEX('sk 1-6, 7-12 - Muži'!$C$1:'sk 1-6, 7-12 - Muži'!$C$17,MOD(TRUNC((COLUMN()-1)/7),2 )*15+2,1),LEN("skupina ")+1,10))</f>
        <v>Sk: M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Muži'!$AE$1</f>
        <v>45773</v>
      </c>
      <c r="E79" s="62" t="str">
        <f ca="1">IF(LEN(INDIRECT(CONCATENATE("'sk 1-6, 7-12 - Muži'!AT",INDIRECT(ADDRESS(ROW(),COLUMN()-2)))))=0,"","NEHRÁT")</f>
        <v>NEHRÁT</v>
      </c>
      <c r="F79" s="89" t="str">
        <f>CONCATENATE("stůl č. ",zápis!I69)</f>
        <v xml:space="preserve">stůl č. </v>
      </c>
      <c r="H79" s="88" t="str">
        <f>CONCATENATE("Sk: M ",MID(INDEX('sk 1-6, 7-12 - Muži'!$C$1:'sk 1-6, 7-12 - Muži'!$C$17,MOD(TRUNC((COLUMN()-1)/7),2 )*15+2,1),LEN("skupina ")+1,10))</f>
        <v>Sk: M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Muži'!$AE$1</f>
        <v>45773</v>
      </c>
      <c r="L79" s="62" t="str">
        <f ca="1">IF(LEN(INDIRECT(CONCATENATE("'sk 1-6, 7-12 - Muži'!AT",INDIRECT(ADDRESS(ROW(),COLUMN()-2)))))=0,"","NEHRÁT")</f>
        <v>NEHRÁT</v>
      </c>
      <c r="M79" s="89" t="str">
        <f>CONCATENATE("stůl č. ",zápis!I72)</f>
        <v xml:space="preserve">stůl č. </v>
      </c>
    </row>
    <row r="80" spans="1:13" ht="36" customHeight="1" thickBot="1">
      <c r="A80" s="211" t="str">
        <f>CONCATENATE(IF(COUNTIF(seznam!$A$2:$A$25, INDEX('sk 1-6, 7-12 - Muži'!$AP$1:$AP$37,$C79,1) )=1,VLOOKUP(INDEX('sk 1-6, 7-12 - Muži'!$AP$1:$AP$37,$C79,1),seznam!$A$2:$C$25,2,FALSE),"------"),"   (",IF(COUNTIF(seznam!$A$2:$A$25, INDEX('sk 1-6, 7-12 - Muži'!$AP$1:$AP$37,$C79,1) )=1,VLOOKUP( INDEX('sk 1-6, 7-12 - Muži'!$AP$1:$AP$37,$C79,1),seznam!$A$2:$C$25,3,FALSE),"------"),")")</f>
        <v>Látal Jan   (Jiskra Strážnice)</v>
      </c>
      <c r="B80" s="212"/>
      <c r="C80" s="212"/>
      <c r="D80" s="211" t="str">
        <f>CONCATENATE(IF(COUNTIF(seznam!$A$2:$A$25, INDEX('sk 1-6, 7-12 - Muži'!$AQ$1:$AQ$37,$C79,1) )=1,VLOOKUP( INDEX('sk 1-6, 7-12 - Muži'!$AQ$1:$AQ$37,$C79,1),seznam!$A$2:$C$25,2,FALSE),"------"),"   (",IF(COUNTIF(seznam!$A$2:$A$25, INDEX('sk 1-6, 7-12 - Muži'!$AQ$1:$AQ$37,$C79,1) )=1,VLOOKUP( INDEX('sk 1-6, 7-12 - Muži'!$AQ$1:$AQ$37,$C79,1),seznam!$A$2:$C$25,3,FALSE),"------"),")")</f>
        <v>Šimon Samuel   (KST FOSFA LVA)</v>
      </c>
      <c r="E80" s="212"/>
      <c r="F80" s="213"/>
      <c r="H80" s="211" t="str">
        <f>CONCATENATE(IF(COUNTIF(seznam!$A$2:$A$25, INDEX('sk 1-6, 7-12 - Muži'!$AP$1:$AP$37,$J79,1) )=1,VLOOKUP(INDEX('sk 1-6, 7-12 - Muži'!$AP$1:$AP$37,$J79,1),seznam!$A$2:$C$25,2,FALSE),"------"),"   (",IF(COUNTIF(seznam!$A$2:$A$25, INDEX('sk 1-6, 7-12 - Muži'!$AP$1:$AP$37,$J79,1) )=1,VLOOKUP( INDEX('sk 1-6, 7-12 - Muži'!$AP$1:$AP$37,$J79,1),seznam!$A$2:$C$25,3,FALSE),"------"),")")</f>
        <v>Luhan Adam   (MSK Břeclav)</v>
      </c>
      <c r="I80" s="212"/>
      <c r="J80" s="212"/>
      <c r="K80" s="211" t="str">
        <f>CONCATENATE(IF(COUNTIF(seznam!$A$2:$A$25, INDEX('sk 1-6, 7-12 - Muži'!$AQ$1:$AQ$37,$J79,1) )=1,VLOOKUP( INDEX('sk 1-6, 7-12 - Muži'!$AQ$1:$AQ$37,$J79,1),seznam!$A$2:$C$25,2,FALSE),"------"),"   (",IF(COUNTIF(seznam!$A$2:$A$25, INDEX('sk 1-6, 7-12 - Muži'!$AQ$1:$AQ$37,$J79,1) )=1,VLOOKUP( INDEX('sk 1-6, 7-12 - Muži'!$AQ$1:$AQ$37,$J79,1),seznam!$A$2:$C$25,3,FALSE),"------"),")")</f>
        <v>Tomeček Richard   (Jiskra Strážnice)</v>
      </c>
      <c r="L80" s="212"/>
      <c r="M80" s="213"/>
    </row>
    <row r="81" spans="1:13" ht="14.25" customHeight="1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>
      <c r="A83" s="202" t="str">
        <f>CONCATENATE("Rozhodčí: ",IFERROR(VLOOKUP('sk 1-6, 7-12 - Muži'!$AS$26,seznam!$A$2:$C$25,2),""))</f>
        <v>Rozhodčí: Voráč Pavel</v>
      </c>
      <c r="B83" s="203"/>
      <c r="C83" s="204"/>
      <c r="D83" s="205" t="s">
        <v>30</v>
      </c>
      <c r="E83" s="206"/>
      <c r="F83" s="207"/>
      <c r="H83" s="202" t="str">
        <f>CONCATENATE("Rozhodčí: ",IFERROR(VLOOKUP('sk 1-6, 7-12 - Muži'!$AS$29,seznam!$A$2:$C$25,2),""))</f>
        <v>Rozhodčí: Spěvák Šimon</v>
      </c>
      <c r="I83" s="203"/>
      <c r="J83" s="204"/>
      <c r="K83" s="205" t="s">
        <v>30</v>
      </c>
      <c r="L83" s="206"/>
      <c r="M83" s="207"/>
    </row>
    <row r="84" spans="1:13" ht="18" customHeight="1" thickBot="1"/>
    <row r="85" spans="1:13" ht="36" customHeight="1">
      <c r="A85" s="208" t="str">
        <f>'sk 1-6, 7-12 - Muži'!$C$1</f>
        <v>Žebříčkový turnaj - U11 M - II.stupeň</v>
      </c>
      <c r="B85" s="209"/>
      <c r="C85" s="209"/>
      <c r="D85" s="209"/>
      <c r="E85" s="209"/>
      <c r="F85" s="210"/>
      <c r="H85" s="208" t="str">
        <f>'sk 1-6, 7-12 - Muži'!$C$1</f>
        <v>Žebříčkový turnaj - U11 M - II.stupeň</v>
      </c>
      <c r="I85" s="209"/>
      <c r="J85" s="209"/>
      <c r="K85" s="209"/>
      <c r="L85" s="209"/>
      <c r="M85" s="210"/>
    </row>
    <row r="86" spans="1:13" ht="36" customHeight="1" thickBot="1">
      <c r="A86" s="88" t="str">
        <f>CONCATENATE("Sk: M ",MID(INDEX('sk 1-6, 7-12 - Muži'!$C$1:'sk 1-6, 7-12 - Muži'!$C$17,MOD(TRUNC((COLUMN()-1)/7),2 )*15+2,1),LEN("skupina ")+1,10))</f>
        <v>Sk: M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Muži'!$AE$1</f>
        <v>45773</v>
      </c>
      <c r="E86" s="62" t="e">
        <f ca="1">IF(LEN(INDIRECT(CONCATENATE("'sk 1-6, 7-12 - Muži'!AT",INDIRECT(ADDRESS(ROW(),COLUMN()-2)))))=0,"","NEHRÁT")</f>
        <v>#NAME?</v>
      </c>
      <c r="F86" s="89" t="str">
        <f>CONCATENATE("stůl č. ",zápis!I87)</f>
        <v xml:space="preserve">stůl č. </v>
      </c>
      <c r="H86" s="88" t="str">
        <f>CONCATENATE("Sk: M ",MID(INDEX('sk 1-6, 7-12 - Muži'!$C$1:'sk 1-6, 7-12 - Muži'!$C$17,MOD(TRUNC((COLUMN()-1)/7),2 )*15+2,1),LEN("skupina ")+1,10))</f>
        <v>Sk: M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Muži'!$AE$1</f>
        <v>45773</v>
      </c>
      <c r="L86" s="62" t="e">
        <f ca="1">IF(LEN(INDIRECT(CONCATENATE("'sk 1-6, 7-12 - Muži'!AT",INDIRECT(ADDRESS(ROW(),COLUMN()-2)))))=0,"","NEHRÁT")</f>
        <v>#NAME?</v>
      </c>
      <c r="M86" s="89" t="str">
        <f>CONCATENATE("stůl č. ",zápis!I90)</f>
        <v xml:space="preserve">stůl č. </v>
      </c>
    </row>
    <row r="87" spans="1:13" ht="36" customHeight="1" thickBot="1">
      <c r="A87" s="211" t="str">
        <f>CONCATENATE(IF(COUNTIF(seznam!$A$2:$A$25, INDEX('sk 1-6, 7-12 - Muži'!$AP$1:$AP$37,$C86,1) )=1,VLOOKUP(INDEX('sk 1-6, 7-12 - Muži'!$AP$1:$AP$37,$C86,1),seznam!$A$2:$C$25,2,FALSE),"------"),"   (",IF(COUNTIF(seznam!$A$2:$A$25, INDEX('sk 1-6, 7-12 - Muži'!$AP$1:$AP$37,$C86,1) )=1,VLOOKUP( INDEX('sk 1-6, 7-12 - Muži'!$AP$1:$AP$37,$C86,1),seznam!$A$2:$C$25,3,FALSE),"------"),")")</f>
        <v>Šimon Samuel   (KST FOSFA LVA)</v>
      </c>
      <c r="B87" s="212"/>
      <c r="C87" s="212"/>
      <c r="D87" s="211" t="str">
        <f>CONCATENATE(IF(COUNTIF(seznam!$A$2:$A$25, INDEX('sk 1-6, 7-12 - Muži'!$AQ$1:$AQ$37,$C86,1) )=1,VLOOKUP( INDEX('sk 1-6, 7-12 - Muži'!$AQ$1:$AQ$37,$C86,1),seznam!$A$2:$C$25,2,FALSE),"------"),"   (",IF(COUNTIF(seznam!$A$2:$A$25, INDEX('sk 1-6, 7-12 - Muži'!$AQ$1:$AQ$37,$C86,1) )=1,VLOOKUP( INDEX('sk 1-6, 7-12 - Muži'!$AQ$1:$AQ$37,$C86,1),seznam!$A$2:$C$25,3,FALSE),"------"),")")</f>
        <v>Omelka Marek   (KST FOSFA LVA)</v>
      </c>
      <c r="E87" s="212"/>
      <c r="F87" s="213"/>
      <c r="H87" s="211" t="str">
        <f>CONCATENATE(IF(COUNTIF(seznam!$A$2:$A$25, INDEX('sk 1-6, 7-12 - Muži'!$AP$1:$AP$37,$J86,1) )=1,VLOOKUP(INDEX('sk 1-6, 7-12 - Muži'!$AP$1:$AP$37,$J86,1),seznam!$A$2:$C$25,2,FALSE),"------"),"   (",IF(COUNTIF(seznam!$A$2:$A$25, INDEX('sk 1-6, 7-12 - Muži'!$AP$1:$AP$37,$J86,1) )=1,VLOOKUP( INDEX('sk 1-6, 7-12 - Muži'!$AP$1:$AP$37,$J86,1),seznam!$A$2:$C$25,3,FALSE),"------"),")")</f>
        <v>Tomeček Richard   (Jiskra Strážnice)</v>
      </c>
      <c r="I87" s="212"/>
      <c r="J87" s="212"/>
      <c r="K87" s="211" t="str">
        <f>CONCATENATE(IF(COUNTIF(seznam!$A$2:$A$25, INDEX('sk 1-6, 7-12 - Muži'!$AQ$1:$AQ$37,$J86,1) )=1,VLOOKUP( INDEX('sk 1-6, 7-12 - Muži'!$AQ$1:$AQ$37,$J86,1),seznam!$A$2:$C$25,2,FALSE),"------"),"   (",IF(COUNTIF(seznam!$A$2:$A$25, INDEX('sk 1-6, 7-12 - Muži'!$AQ$1:$AQ$37,$J86,1) )=1,VLOOKUP( INDEX('sk 1-6, 7-12 - Muži'!$AQ$1:$AQ$37,$J86,1),seznam!$A$2:$C$25,3,FALSE),"------"),")")</f>
        <v>Ides Samuel Hugo   (Sokol Brno I)</v>
      </c>
      <c r="L87" s="212"/>
      <c r="M87" s="213"/>
    </row>
    <row r="88" spans="1:13" ht="14.25" customHeight="1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>
      <c r="A90" s="202" t="str">
        <f>CONCATENATE("Rozhodčí: ",IFERROR(VLOOKUP('sk 1-6, 7-12 - Muži'!$AS$31,seznam!$A$2:$C$25,2),""))</f>
        <v>Rozhodčí: Kmenta Josef</v>
      </c>
      <c r="B90" s="203"/>
      <c r="C90" s="204"/>
      <c r="D90" s="205" t="s">
        <v>30</v>
      </c>
      <c r="E90" s="206"/>
      <c r="F90" s="207"/>
      <c r="H90" s="202" t="str">
        <f>CONCATENATE("Rozhodčí: ",IFERROR(VLOOKUP('sk 1-6, 7-12 - Muži'!$AS$34,seznam!$A$2:$C$25,2),""))</f>
        <v>Rozhodčí: Pantlík Daniel</v>
      </c>
      <c r="I90" s="203"/>
      <c r="J90" s="204"/>
      <c r="K90" s="205" t="s">
        <v>30</v>
      </c>
      <c r="L90" s="206"/>
      <c r="M90" s="207"/>
    </row>
    <row r="91" spans="1:13" ht="18" customHeight="1" thickBot="1"/>
    <row r="92" spans="1:13" ht="36" customHeight="1">
      <c r="A92" s="208" t="str">
        <f>'sk 1-6, 7-12 - Muži'!$C$1</f>
        <v>Žebříčkový turnaj - U11 M - II.stupeň</v>
      </c>
      <c r="B92" s="209"/>
      <c r="C92" s="209"/>
      <c r="D92" s="209"/>
      <c r="E92" s="209"/>
      <c r="F92" s="210"/>
      <c r="H92" s="208" t="str">
        <f>'sk 1-6, 7-12 - Muži'!$C$1</f>
        <v>Žebříčkový turnaj - U11 M - II.stupeň</v>
      </c>
      <c r="I92" s="209"/>
      <c r="J92" s="209"/>
      <c r="K92" s="209"/>
      <c r="L92" s="209"/>
      <c r="M92" s="210"/>
    </row>
    <row r="93" spans="1:13" ht="36" customHeight="1" thickBot="1">
      <c r="A93" s="88" t="str">
        <f>CONCATENATE("Sk: M ",MID(INDEX('sk 1-6, 7-12 - Muži'!$C$1:'sk 1-6, 7-12 - Muži'!$C$17,MOD(TRUNC((COLUMN()-1)/7),2 )*15+2,1),LEN("skupina ")+1,10))</f>
        <v>Sk: M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Muži'!$AE$1</f>
        <v>45773</v>
      </c>
      <c r="E93" s="62" t="e">
        <f ca="1">IF(LEN(INDIRECT(CONCATENATE("'sk 1-6, 7-12 - Muži'!AT",INDIRECT(ADDRESS(ROW(),COLUMN()-2)))))=0,"","NEHRÁT")</f>
        <v>#NAME?</v>
      </c>
      <c r="F93" s="89" t="str">
        <f>CONCATENATE("stůl č. ",zápis!I88)</f>
        <v xml:space="preserve">stůl č. </v>
      </c>
      <c r="H93" s="88" t="str">
        <f>CONCATENATE("Sk: M ",MID(INDEX('sk 1-6, 7-12 - Muži'!$C$1:'sk 1-6, 7-12 - Muži'!$C$17,MOD(TRUNC((COLUMN()-1)/7),2 )*15+2,1),LEN("skupina ")+1,10))</f>
        <v>Sk: M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Muži'!$AE$1</f>
        <v>45773</v>
      </c>
      <c r="L93" s="62" t="e">
        <f ca="1">IF(LEN(INDIRECT(CONCATENATE("'sk 1-6, 7-12 - Muži'!AT",INDIRECT(ADDRESS(ROW(),COLUMN()-2)))))=0,"","NEHRÁT")</f>
        <v>#NAME?</v>
      </c>
      <c r="M93" s="89" t="str">
        <f>CONCATENATE("stůl č. ",zápis!I91)</f>
        <v xml:space="preserve">stůl č. </v>
      </c>
    </row>
    <row r="94" spans="1:13" ht="36" customHeight="1" thickBot="1">
      <c r="A94" s="211" t="str">
        <f>CONCATENATE(IF(COUNTIF(seznam!$A$2:$A$25, INDEX('sk 1-6, 7-12 - Muži'!$AP$1:$AP$37,$C93,1) )=1,VLOOKUP(INDEX('sk 1-6, 7-12 - Muži'!$AP$1:$AP$37,$C93,1),seznam!$A$2:$C$25,2,FALSE),"------"),"   (",IF(COUNTIF(seznam!$A$2:$A$25, INDEX('sk 1-6, 7-12 - Muži'!$AP$1:$AP$37,$C93,1) )=1,VLOOKUP( INDEX('sk 1-6, 7-12 - Muži'!$AP$1:$AP$37,$C93,1),seznam!$A$2:$C$25,3,FALSE),"------"),")")</f>
        <v>Peťura Patrik   (Jiskra Strážnice)</v>
      </c>
      <c r="B94" s="212"/>
      <c r="C94" s="212"/>
      <c r="D94" s="211" t="str">
        <f>CONCATENATE(IF(COUNTIF(seznam!$A$2:$A$25, INDEX('sk 1-6, 7-12 - Muži'!$AQ$1:$AQ$37,$C93,1) )=1,VLOOKUP( INDEX('sk 1-6, 7-12 - Muži'!$AQ$1:$AQ$37,$C93,1),seznam!$A$2:$C$25,2,FALSE),"------"),"   (",IF(COUNTIF(seznam!$A$2:$A$25, INDEX('sk 1-6, 7-12 - Muži'!$AQ$1:$AQ$37,$C93,1) )=1,VLOOKUP( INDEX('sk 1-6, 7-12 - Muži'!$AQ$1:$AQ$37,$C93,1),seznam!$A$2:$C$25,3,FALSE),"------"),")")</f>
        <v>Látal Jan   (Jiskra Strážnice)</v>
      </c>
      <c r="E94" s="212"/>
      <c r="F94" s="213"/>
      <c r="H94" s="211" t="str">
        <f>CONCATENATE(IF(COUNTIF(seznam!$A$2:$A$25, INDEX('sk 1-6, 7-12 - Muži'!$AP$1:$AP$37,$J93,1) )=1,VLOOKUP(INDEX('sk 1-6, 7-12 - Muži'!$AP$1:$AP$37,$J93,1),seznam!$A$2:$C$25,2,FALSE),"------"),"   (",IF(COUNTIF(seznam!$A$2:$A$25, INDEX('sk 1-6, 7-12 - Muži'!$AP$1:$AP$37,$J93,1) )=1,VLOOKUP( INDEX('sk 1-6, 7-12 - Muži'!$AP$1:$AP$37,$J93,1),seznam!$A$2:$C$25,3,FALSE),"------"),")")</f>
        <v>Plotzer Robin   (MK Řeznovice)</v>
      </c>
      <c r="I94" s="212"/>
      <c r="J94" s="212"/>
      <c r="K94" s="211" t="str">
        <f>CONCATENATE(IF(COUNTIF(seznam!$A$2:$A$25, INDEX('sk 1-6, 7-12 - Muži'!$AQ$1:$AQ$37,$J93,1) )=1,VLOOKUP( INDEX('sk 1-6, 7-12 - Muži'!$AQ$1:$AQ$37,$J93,1),seznam!$A$2:$C$25,2,FALSE),"------"),"   (",IF(COUNTIF(seznam!$A$2:$A$25, INDEX('sk 1-6, 7-12 - Muži'!$AQ$1:$AQ$37,$J93,1) )=1,VLOOKUP( INDEX('sk 1-6, 7-12 - Muži'!$AQ$1:$AQ$37,$J93,1),seznam!$A$2:$C$25,3,FALSE),"------"),")")</f>
        <v>Luhan Adam   (MSK Břeclav)</v>
      </c>
      <c r="L94" s="212"/>
      <c r="M94" s="213"/>
    </row>
    <row r="95" spans="1:13" ht="14.25" customHeight="1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>
      <c r="A97" s="202" t="str">
        <f>CONCATENATE("Rozhodčí: ",IFERROR(VLOOKUP('sk 1-6, 7-12 - Muži'!$AS$32,seznam!$A$2:$C$25,2),""))</f>
        <v>Rozhodčí: Voráč Pavel</v>
      </c>
      <c r="B97" s="203"/>
      <c r="C97" s="204"/>
      <c r="D97" s="205" t="s">
        <v>30</v>
      </c>
      <c r="E97" s="206"/>
      <c r="F97" s="207"/>
      <c r="H97" s="202" t="str">
        <f>CONCATENATE("Rozhodčí: ",IFERROR(VLOOKUP('sk 1-6, 7-12 - Muži'!$AS$35,seznam!$A$2:$C$25,2),""))</f>
        <v>Rozhodčí: Spěvák Šimon</v>
      </c>
      <c r="I97" s="203"/>
      <c r="J97" s="204"/>
      <c r="K97" s="205" t="s">
        <v>30</v>
      </c>
      <c r="L97" s="206"/>
      <c r="M97" s="207"/>
    </row>
    <row r="98" spans="1:13" ht="18" customHeight="1" thickBot="1"/>
    <row r="99" spans="1:13" ht="36" customHeight="1">
      <c r="A99" s="208" t="str">
        <f>'sk 1-6, 7-12 - Muži'!$C$1</f>
        <v>Žebříčkový turnaj - U11 M - II.stupeň</v>
      </c>
      <c r="B99" s="209"/>
      <c r="C99" s="209"/>
      <c r="D99" s="209"/>
      <c r="E99" s="209"/>
      <c r="F99" s="210"/>
      <c r="H99" s="208" t="str">
        <f>'sk 1-6, 7-12 - Muži'!$C$1</f>
        <v>Žebříčkový turnaj - U11 M - II.stupeň</v>
      </c>
      <c r="I99" s="209"/>
      <c r="J99" s="209"/>
      <c r="K99" s="209"/>
      <c r="L99" s="209"/>
      <c r="M99" s="210"/>
    </row>
    <row r="100" spans="1:13" ht="36" customHeight="1" thickBot="1">
      <c r="A100" s="88" t="str">
        <f>CONCATENATE("Sk: M ",MID(INDEX('sk 1-6, 7-12 - Muži'!$C$1:'sk 1-6, 7-12 - Muži'!$C$17,MOD(TRUNC((COLUMN()-1)/7),2 )*15+2,1),LEN("skupina ")+1,10))</f>
        <v>Sk: M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Muži'!$AE$1</f>
        <v>45773</v>
      </c>
      <c r="E100" s="62" t="e">
        <f ca="1">IF(LEN(INDIRECT(CONCATENATE("'sk 1-6, 7-12 - Muži'!AT",INDIRECT(ADDRESS(ROW(),COLUMN()-2)))))=0,"","NEHRÁT")</f>
        <v>#NAME?</v>
      </c>
      <c r="F100" s="89" t="str">
        <f>CONCATENATE("stůl č. ",zápis!I89)</f>
        <v xml:space="preserve">stůl č. </v>
      </c>
      <c r="H100" s="88" t="str">
        <f>CONCATENATE("Sk: M ",MID(INDEX('sk 1-6, 7-12 - Muži'!$C$1:'sk 1-6, 7-12 - Muži'!$C$17,MOD(TRUNC((COLUMN()-1)/7),2 )*15+2,1),LEN("skupina ")+1,10))</f>
        <v>Sk: M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Muži'!$AE$1</f>
        <v>45773</v>
      </c>
      <c r="L100" s="62" t="e">
        <f ca="1">IF(LEN(INDIRECT(CONCATENATE("'sk 1-6, 7-12 - Muži'!AT",INDIRECT(ADDRESS(ROW(),COLUMN()-2)))))=0,"","NEHRÁT")</f>
        <v>#NAME?</v>
      </c>
      <c r="M100" s="89" t="str">
        <f>CONCATENATE("stůl č. ",zápis!I92)</f>
        <v xml:space="preserve">stůl č. </v>
      </c>
    </row>
    <row r="101" spans="1:13" ht="36" customHeight="1" thickBot="1">
      <c r="A101" s="211" t="str">
        <f>CONCATENATE(IF(COUNTIF(seznam!$A$2:$A$25, INDEX('sk 1-6, 7-12 - Muži'!$AP$1:$AP$37,$C100,1) )=1,VLOOKUP(INDEX('sk 1-6, 7-12 - Muži'!$AP$1:$AP$37,$C100,1),seznam!$A$2:$C$25,2,FALSE),"------"),"   (",IF(COUNTIF(seznam!$A$2:$A$25, INDEX('sk 1-6, 7-12 - Muži'!$AP$1:$AP$37,$C100,1) )=1,VLOOKUP( INDEX('sk 1-6, 7-12 - Muži'!$AP$1:$AP$37,$C100,1),seznam!$A$2:$C$25,3,FALSE),"------"),")")</f>
        <v>Kmenta Josef   (SKST Hodonín)</v>
      </c>
      <c r="B101" s="212"/>
      <c r="C101" s="212"/>
      <c r="D101" s="211" t="str">
        <f>CONCATENATE(IF(COUNTIF(seznam!$A$2:$A$25, INDEX('sk 1-6, 7-12 - Muži'!$AQ$1:$AQ$37,$C100,1) )=1,VLOOKUP( INDEX('sk 1-6, 7-12 - Muži'!$AQ$1:$AQ$37,$C100,1),seznam!$A$2:$C$25,2,FALSE),"------"),"   (",IF(COUNTIF(seznam!$A$2:$A$25, INDEX('sk 1-6, 7-12 - Muži'!$AQ$1:$AQ$37,$C100,1) )=1,VLOOKUP( INDEX('sk 1-6, 7-12 - Muži'!$AQ$1:$AQ$37,$C100,1),seznam!$A$2:$C$25,3,FALSE),"------"),")")</f>
        <v>Voráč Pavel   (KST Blansko)</v>
      </c>
      <c r="E101" s="212"/>
      <c r="F101" s="213"/>
      <c r="H101" s="211" t="str">
        <f>CONCATENATE(IF(COUNTIF(seznam!$A$2:$A$25, INDEX('sk 1-6, 7-12 - Muži'!$AP$1:$AP$37,$J100,1) )=1,VLOOKUP(INDEX('sk 1-6, 7-12 - Muži'!$AP$1:$AP$37,$J100,1),seznam!$A$2:$C$25,2,FALSE),"------"),"   (",IF(COUNTIF(seznam!$A$2:$A$25, INDEX('sk 1-6, 7-12 - Muži'!$AP$1:$AP$37,$J100,1) )=1,VLOOKUP( INDEX('sk 1-6, 7-12 - Muži'!$AP$1:$AP$37,$J100,1),seznam!$A$2:$C$25,3,FALSE),"------"),")")</f>
        <v>Pantlík Daniel   (MK Řeznovice)</v>
      </c>
      <c r="I101" s="212"/>
      <c r="J101" s="212"/>
      <c r="K101" s="211" t="str">
        <f>CONCATENATE(IF(COUNTIF(seznam!$A$2:$A$25, INDEX('sk 1-6, 7-12 - Muži'!$AQ$1:$AQ$37,$J100,1) )=1,VLOOKUP( INDEX('sk 1-6, 7-12 - Muži'!$AQ$1:$AQ$37,$J100,1),seznam!$A$2:$C$25,2,FALSE),"------"),"   (",IF(COUNTIF(seznam!$A$2:$A$25, INDEX('sk 1-6, 7-12 - Muži'!$AQ$1:$AQ$37,$J100,1) )=1,VLOOKUP( INDEX('sk 1-6, 7-12 - Muži'!$AQ$1:$AQ$37,$J100,1),seznam!$A$2:$C$25,3,FALSE),"------"),")")</f>
        <v>Spěvák Šimon   (KST FOSFA LVA)</v>
      </c>
      <c r="L101" s="212"/>
      <c r="M101" s="213"/>
    </row>
    <row r="102" spans="1:13" ht="14.25" customHeight="1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>
      <c r="A104" s="202" t="str">
        <f>CONCATENATE("Rozhodčí: ",IFERROR(VLOOKUP('sk 1-6, 7-12 - Muži'!$AS$33,seznam!$A$2:$C$25,2),""))</f>
        <v>Rozhodčí: Šimon Samuel</v>
      </c>
      <c r="B104" s="203"/>
      <c r="C104" s="204"/>
      <c r="D104" s="205" t="s">
        <v>30</v>
      </c>
      <c r="E104" s="206"/>
      <c r="F104" s="207"/>
      <c r="H104" s="202" t="str">
        <f>CONCATENATE("Rozhodčí: ",IFERROR(VLOOKUP('sk 1-6, 7-12 - Muži'!$AS$36,seznam!$A$2:$C$25,2),""))</f>
        <v>Rozhodčí: Tomeček Richard</v>
      </c>
      <c r="I104" s="203"/>
      <c r="J104" s="204"/>
      <c r="K104" s="205" t="s">
        <v>30</v>
      </c>
      <c r="L104" s="206"/>
      <c r="M104" s="207"/>
    </row>
    <row r="105" spans="1:13" ht="18" customHeight="1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conditionalFormatting sqref="E2">
    <cfRule type="cellIs" dxfId="10" priority="6" operator="equal">
      <formula>"NEHRÁT"</formula>
    </cfRule>
  </conditionalFormatting>
  <conditionalFormatting sqref="E23 L23 E30 L30 E37 L37 E44 L44 E51 L51 E58 L58">
    <cfRule type="cellIs" dxfId="9" priority="3" operator="equal">
      <formula>"NEHRÁT"</formula>
    </cfRule>
  </conditionalFormatting>
  <conditionalFormatting sqref="E65 L65 E72 L72 E79 L79">
    <cfRule type="cellIs" dxfId="8" priority="2" operator="equal">
      <formula>"NEHRÁT"</formula>
    </cfRule>
  </conditionalFormatting>
  <conditionalFormatting sqref="E86 L86 E93 L93 E100 L100">
    <cfRule type="cellIs" dxfId="7" priority="1" operator="equal">
      <formula>"NEHRÁT"</formula>
    </cfRule>
  </conditionalFormatting>
  <conditionalFormatting sqref="L2 E9 L9 E16 L16">
    <cfRule type="cellIs" dxfId="6" priority="5" operator="equal">
      <formula>"NEHRÁT"</formula>
    </cfRule>
  </conditionalFormatting>
  <pageMargins left="0.19685039370078741" right="0.19685039370078741" top="0.39370078740157483" bottom="0.39370078740157483" header="0" footer="0"/>
  <pageSetup paperSize="9" scale="85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105"/>
  <sheetViews>
    <sheetView showGridLines="0" view="pageBreakPreview" topLeftCell="A7" zoomScale="55" zoomScaleNormal="48" zoomScaleSheetLayoutView="55" workbookViewId="0">
      <selection activeCell="AA5" sqref="AA5"/>
    </sheetView>
  </sheetViews>
  <sheetFormatPr defaultRowHeight="12.5"/>
  <cols>
    <col min="1" max="6" width="13.7265625" customWidth="1"/>
    <col min="7" max="7" width="4.1796875" customWidth="1"/>
    <col min="8" max="13" width="13.7265625" customWidth="1"/>
    <col min="16" max="16" width="12.453125" bestFit="1" customWidth="1"/>
  </cols>
  <sheetData>
    <row r="1" spans="1:13" ht="36" customHeight="1">
      <c r="A1" s="208" t="str">
        <f>'sk 1-6, 7-12 - Ženy'!$C$1</f>
        <v>Žebříčkový turnaj - U11 Ž - II.stupeň</v>
      </c>
      <c r="B1" s="209"/>
      <c r="C1" s="209"/>
      <c r="D1" s="209"/>
      <c r="E1" s="209"/>
      <c r="F1" s="210"/>
      <c r="H1" s="208" t="str">
        <f>'sk 1-6, 7-12 - Ženy'!$C$1</f>
        <v>Žebříčkový turnaj - U11 Ž - II.stupeň</v>
      </c>
      <c r="I1" s="209"/>
      <c r="J1" s="209"/>
      <c r="K1" s="209"/>
      <c r="L1" s="209"/>
      <c r="M1" s="210"/>
    </row>
    <row r="2" spans="1:13" ht="36" customHeight="1" thickBot="1">
      <c r="A2" s="88" t="str">
        <f>CONCATENATE("Sk: Ž  ",MID(INDEX('sk 1-6, 7-12 - Ženy'!$C$1:'sk 1-6, 7-12 - Ženy'!$C$17,MOD(TRUNC((COLUMN()-1)/7),2 )*15+2,1),LEN("skupina ")+1,10))</f>
        <v>Sk: Ž 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Ženy'!$AE$1</f>
        <v>45773</v>
      </c>
      <c r="E2" s="62" t="e">
        <f ca="1">IF(LEN(INDIRECT(CONCATENATE("'sk 1-6, 7-12 - Ženy'!AT",INDIRECT(ADDRESS(ROW(),COLUMN()-2)))))=0,"","NEHRÁT")</f>
        <v>#NAME?</v>
      </c>
      <c r="F2" s="89" t="str">
        <f>CONCATENATE("stůl č. ",zápis!I4)</f>
        <v xml:space="preserve">stůl č. </v>
      </c>
      <c r="H2" s="88" t="str">
        <f>CONCATENATE("Sk: Ž ",MID(INDEX('sk 1-6, 7-12 - Ženy'!$C$1:'sk 1-6, 7-12 - Ženy'!$C$17,MOD(TRUNC((COLUMN()-1)/7),2 )*15+2,1),LEN("skupina ")+1,10))</f>
        <v>Sk: Ž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Ženy'!$AE$1</f>
        <v>45773</v>
      </c>
      <c r="L2" s="62" t="e">
        <f ca="1">IF(LEN(INDIRECT(CONCATENATE("'sk 1-6, 7-12 - Ženy'!AT",INDIRECT(ADDRESS(ROW(),COLUMN()-2)))))=0,"","NEHRÁT")</f>
        <v>#NAME?</v>
      </c>
      <c r="M2" s="89" t="str">
        <f>CONCATENATE("stůl č. ",zápis!I7)</f>
        <v xml:space="preserve">stůl č. </v>
      </c>
    </row>
    <row r="3" spans="1:13" ht="36" customHeight="1" thickBot="1">
      <c r="A3" s="214" t="str">
        <f>CONCATENATE(IF(COUNTIF(seznam!$A$2:$A$25, INDEX('sk 1-6, 7-12 - Ženy'!$AP$1:$AP$37,$C2,1) )=1,VLOOKUP(INDEX('sk 1-6, 7-12 - Ženy'!$AP$1:$AP$37,$C2,1),seznam!$A$2:$C$25,2,FALSE),"------"),"   (",IF(COUNTIF(seznam!$A$2:$A$25, INDEX('sk 1-6, 7-12 - Ženy'!$AP$1:$AP$37,$C2,1) )=1,VLOOKUP( INDEX('sk 1-6, 7-12 - Ženy'!$AP$1:$AP$37,$C2,1),seznam!$A$2:$C$25,3,FALSE),"------"),")")</f>
        <v>Solfronková Ema   (MS Brno)</v>
      </c>
      <c r="B3" s="215"/>
      <c r="C3" s="215"/>
      <c r="D3" s="214" t="str">
        <f>CONCATENATE(IF(COUNTIF(seznam!$A$2:$A$25, INDEX('sk 1-6, 7-12 - Ženy'!$AQ$1:$AQ$37,$C2,1) )=1,VLOOKUP( INDEX('sk 1-6, 7-12 - Ženy'!$AQ$1:$AQ$37,$C2,1),seznam!$A$2:$C$25,2,FALSE),"------"),"   (",IF(COUNTIF(seznam!$A$2:$A$25, INDEX('sk 1-6, 7-12 - Ženy'!$AQ$1:$AQ$37,$C2,1) )=1,VLOOKUP( INDEX('sk 1-6, 7-12 - Ženy'!$AQ$1:$AQ$37,$C2,1),seznam!$A$2:$C$25,3,FALSE),"------"),")")</f>
        <v>Jonášová Kristýna   (STK Zbraslavec)</v>
      </c>
      <c r="E3" s="215"/>
      <c r="F3" s="216"/>
      <c r="H3" s="214" t="str">
        <f>CONCATENATE(IF(COUNTIF(seznam!$A$2:$A$25, INDEX('sk 1-6, 7-12 - Ženy'!$AP$1:$AP$37,$J2,1) )=1,VLOOKUP(INDEX('sk 1-6, 7-12 - Ženy'!$AP$1:$AP$37,$J2,1),seznam!$A$2:$C$25,2,FALSE),"------"),"   (",IF(COUNTIF(seznam!$A$2:$A$25, INDEX('sk 1-6, 7-12 - Ženy'!$AP$1:$AP$37,$J2,1) )=1,VLOOKUP( INDEX('sk 1-6, 7-12 - Ženy'!$AP$1:$AP$37,$J2,1),seznam!$A$2:$C$25,3,FALSE),"------"),")")</f>
        <v>Žilková Elen   (Prace)</v>
      </c>
      <c r="I3" s="215"/>
      <c r="J3" s="215"/>
      <c r="K3" s="214" t="str">
        <f>CONCATENATE(IF(COUNTIF(seznam!$A$2:$A$25, INDEX('sk 1-6, 7-12 - Ženy'!$AQ$1:$AQ$37,$J2,1) )=1,VLOOKUP( INDEX('sk 1-6, 7-12 - Ženy'!$AQ$1:$AQ$37,$J2,1),seznam!$A$2:$C$25,2,FALSE),"------"),"   (",IF(COUNTIF(seznam!$A$2:$A$25, INDEX('sk 1-6, 7-12 - Ženy'!$AQ$1:$AQ$37,$J2,1) )=1,VLOOKUP( INDEX('sk 1-6, 7-12 - Ženy'!$AQ$1:$AQ$37,$J2,1),seznam!$A$2:$C$25,3,FALSE),"------"),")")</f>
        <v>Maradová Eliška   (MS Brno)</v>
      </c>
      <c r="L3" s="215"/>
      <c r="M3" s="216"/>
    </row>
    <row r="4" spans="1:13" ht="14.25" customHeight="1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>
      <c r="A6" s="217" t="str">
        <f>CONCATENATE("Rozhodčí: ",IFERROR(VLOOKUP('sk 1-6, 7-12 - Ženy'!$AS$3,seznam!$A$2:$C$25,2),""))</f>
        <v>Rozhodčí: Klašková Alžběta</v>
      </c>
      <c r="B6" s="206"/>
      <c r="C6" s="218"/>
      <c r="D6" s="205" t="s">
        <v>30</v>
      </c>
      <c r="E6" s="206"/>
      <c r="F6" s="207"/>
      <c r="H6" s="217" t="str">
        <f>CONCATENATE("Rozhodčí: ",IFERROR(VLOOKUP('sk 1-6, 7-12 - Ženy'!$AS$6,seznam!$A$2:$C$25,2),""))</f>
        <v>Rozhodčí: Svobodová Kristýna</v>
      </c>
      <c r="I6" s="206"/>
      <c r="J6" s="218"/>
      <c r="K6" s="205" t="s">
        <v>30</v>
      </c>
      <c r="L6" s="206"/>
      <c r="M6" s="207"/>
    </row>
    <row r="7" spans="1:13" ht="18" customHeight="1" thickBot="1"/>
    <row r="8" spans="1:13" ht="36" customHeight="1">
      <c r="A8" s="208" t="str">
        <f>'sk 1-6, 7-12 - Ženy'!$C$1</f>
        <v>Žebříčkový turnaj - U11 Ž - II.stupeň</v>
      </c>
      <c r="B8" s="209"/>
      <c r="C8" s="209"/>
      <c r="D8" s="209"/>
      <c r="E8" s="209"/>
      <c r="F8" s="210"/>
      <c r="H8" s="208" t="str">
        <f>'sk 1-6, 7-12 - Ženy'!$C$1</f>
        <v>Žebříčkový turnaj - U11 Ž - II.stupeň</v>
      </c>
      <c r="I8" s="209"/>
      <c r="J8" s="209"/>
      <c r="K8" s="209"/>
      <c r="L8" s="209"/>
      <c r="M8" s="210"/>
    </row>
    <row r="9" spans="1:13" ht="36" customHeight="1" thickBot="1">
      <c r="A9" s="88" t="str">
        <f>CONCATENATE("Sk: Ž ",MID(INDEX('sk 1-6, 7-12 - Ženy'!$C$1:'sk 1-6, 7-12 - Ženy'!$C$17,MOD(TRUNC((COLUMN()-1)/7),2 )*15+2,1),LEN("skupina ")+1,10))</f>
        <v>Sk: Ž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Ženy'!$AE$1</f>
        <v>45773</v>
      </c>
      <c r="E9" s="62" t="e">
        <f ca="1">IF(LEN(INDIRECT(CONCATENATE("'sk 1-6, 7-12 - Ženy'!AT",INDIRECT(ADDRESS(ROW(),COLUMN()-2)))))=0,"","NEHRÁT")</f>
        <v>#NAME?</v>
      </c>
      <c r="F9" s="89" t="str">
        <f>CONCATENATE("stůl č. ",zápis!I5)</f>
        <v xml:space="preserve">stůl č. </v>
      </c>
      <c r="H9" s="88" t="str">
        <f>CONCATENATE("Sk: Ž ",MID(INDEX('sk 1-6, 7-12 - Ženy'!$C$1:'sk 1-6, 7-12 - Ženy'!$C$17,MOD(TRUNC((COLUMN()-1)/7),2 )*15+2,1),LEN("skupina ")+1,10))</f>
        <v>Sk: Ž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Ženy'!$AE$1</f>
        <v>45773</v>
      </c>
      <c r="L9" s="62" t="e">
        <f ca="1">IF(LEN(INDIRECT(CONCATENATE("'sk 1-6, 7-12 - Ženy'!AT",INDIRECT(ADDRESS(ROW(),COLUMN()-2)))))=0,"","NEHRÁT")</f>
        <v>#NAME?</v>
      </c>
      <c r="M9" s="89" t="str">
        <f>CONCATENATE("stůl č. ",zápis!I8)</f>
        <v xml:space="preserve">stůl č. </v>
      </c>
    </row>
    <row r="10" spans="1:13" ht="36" customHeight="1" thickBot="1">
      <c r="A10" s="214" t="str">
        <f>CONCATENATE(IF(COUNTIF(seznam!$A$2:$A$25, INDEX('sk 1-6, 7-12 - Ženy'!$AP$1:$AP$37,$C9,1) )=1,VLOOKUP(INDEX('sk 1-6, 7-12 - Ženy'!$AP$1:$AP$37,$C9,1),seznam!$A$2:$C$25,2,FALSE),"------"),"   (",IF(COUNTIF(seznam!$A$2:$A$25, INDEX('sk 1-6, 7-12 - Ženy'!$AP$1:$AP$37,$C9,1) )=1,VLOOKUP( INDEX('sk 1-6, 7-12 - Ženy'!$AP$1:$AP$37,$C9,1),seznam!$A$2:$C$25,3,FALSE),"------"),")")</f>
        <v>Křepelová Kamila   (STK Zbraslavec)</v>
      </c>
      <c r="B10" s="215"/>
      <c r="C10" s="215"/>
      <c r="D10" s="214" t="str">
        <f>CONCATENATE(IF(COUNTIF(seznam!$A$2:$A$25, INDEX('sk 1-6, 7-12 - Ženy'!$AQ$1:$AQ$37,$C9,1) )=1,VLOOKUP( INDEX('sk 1-6, 7-12 - Ženy'!$AQ$1:$AQ$37,$C9,1),seznam!$A$2:$C$25,2,FALSE),"------"),"   (",IF(COUNTIF(seznam!$A$2:$A$25, INDEX('sk 1-6, 7-12 - Ženy'!$AQ$1:$AQ$37,$C9,1) )=1,VLOOKUP( INDEX('sk 1-6, 7-12 - Ženy'!$AQ$1:$AQ$37,$C9,1),seznam!$A$2:$C$25,3,FALSE),"------"),")")</f>
        <v>Straková Adéla   (Vlast Ježov)</v>
      </c>
      <c r="E10" s="215"/>
      <c r="F10" s="216"/>
      <c r="H10" s="214" t="str">
        <f>CONCATENATE(IF(COUNTIF(seznam!$A$2:$A$25, INDEX('sk 1-6, 7-12 - Ženy'!$AP$1:$AP$37,$J9,1) )=1,VLOOKUP(INDEX('sk 1-6, 7-12 - Ženy'!$AP$1:$AP$37,$J9,1),seznam!$A$2:$C$25,2,FALSE),"------"),"   (",IF(COUNTIF(seznam!$A$2:$A$25, INDEX('sk 1-6, 7-12 - Ženy'!$AP$1:$AP$37,$J9,1) )=1,VLOOKUP( INDEX('sk 1-6, 7-12 - Ženy'!$AP$1:$AP$37,$J9,1),seznam!$A$2:$C$25,3,FALSE),"------"),")")</f>
        <v>Zouharová Beáta   (KST Blansko)</v>
      </c>
      <c r="I10" s="215"/>
      <c r="J10" s="215"/>
      <c r="K10" s="214" t="str">
        <f>CONCATENATE(IF(COUNTIF(seznam!$A$2:$A$25, INDEX('sk 1-6, 7-12 - Ženy'!$AQ$1:$AQ$37,$J9,1) )=1,VLOOKUP( INDEX('sk 1-6, 7-12 - Ženy'!$AQ$1:$AQ$37,$J9,1),seznam!$A$2:$C$25,2,FALSE),"------"),"   (",IF(COUNTIF(seznam!$A$2:$A$25, INDEX('sk 1-6, 7-12 - Ženy'!$AQ$1:$AQ$37,$J9,1) )=1,VLOOKUP( INDEX('sk 1-6, 7-12 - Ženy'!$AQ$1:$AQ$37,$J9,1),seznam!$A$2:$C$25,3,FALSE),"------"),")")</f>
        <v>Hasoňová Jana   (SKST Hodonín)</v>
      </c>
      <c r="L10" s="215"/>
      <c r="M10" s="216"/>
    </row>
    <row r="11" spans="1:13" ht="14.25" customHeight="1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>
      <c r="A13" s="217" t="str">
        <f>CONCATENATE("Rozhodčí: ",IFERROR(VLOOKUP('sk 1-6, 7-12 - Ženy'!$AS$4,seznam!$A$2:$C$25,2),""))</f>
        <v>Rozhodčí: Pilitowská Ela</v>
      </c>
      <c r="B13" s="206"/>
      <c r="C13" s="218"/>
      <c r="D13" s="205" t="s">
        <v>30</v>
      </c>
      <c r="E13" s="206"/>
      <c r="F13" s="207"/>
      <c r="H13" s="217" t="str">
        <f>CONCATENATE("Rozhodčí: ",IFERROR(VLOOKUP('sk 1-6, 7-12 - Ženy'!$AS$7,seznam!$A$2:$C$25,2),""))</f>
        <v>Rozhodčí: Krupková Klaudie</v>
      </c>
      <c r="I13" s="206"/>
      <c r="J13" s="218"/>
      <c r="K13" s="205" t="s">
        <v>30</v>
      </c>
      <c r="L13" s="206"/>
      <c r="M13" s="207"/>
    </row>
    <row r="14" spans="1:13" ht="18" customHeight="1" thickBot="1"/>
    <row r="15" spans="1:13" ht="36" customHeight="1">
      <c r="A15" s="208" t="str">
        <f>'sk 1-6, 7-12 - Ženy'!$C$1</f>
        <v>Žebříčkový turnaj - U11 Ž - II.stupeň</v>
      </c>
      <c r="B15" s="209"/>
      <c r="C15" s="209"/>
      <c r="D15" s="209"/>
      <c r="E15" s="209"/>
      <c r="F15" s="210"/>
      <c r="H15" s="208" t="str">
        <f>'sk 1-6, 7-12 - Ženy'!$C$1</f>
        <v>Žebříčkový turnaj - U11 Ž - II.stupeň</v>
      </c>
      <c r="I15" s="209"/>
      <c r="J15" s="209"/>
      <c r="K15" s="209"/>
      <c r="L15" s="209"/>
      <c r="M15" s="210"/>
    </row>
    <row r="16" spans="1:13" ht="36" customHeight="1" thickBot="1">
      <c r="A16" s="88" t="str">
        <f>CONCATENATE("Sk: Ž ",MID(INDEX('sk 1-6, 7-12 - Ženy'!$C$1:'sk 1-6, 7-12 - Ženy'!$C$17,MOD(TRUNC((COLUMN()-1)/7),2 )*15+2,1),LEN("skupina ")+1,10))</f>
        <v>Sk: Ž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Ženy'!$AE$1</f>
        <v>45773</v>
      </c>
      <c r="E16" s="62" t="e">
        <f ca="1">IF(LEN(INDIRECT(CONCATENATE("'sk 1-6, 7-12 - Ženy'!AT",INDIRECT(ADDRESS(ROW(),COLUMN()-2)))))=0,"","NEHRÁT")</f>
        <v>#NAME?</v>
      </c>
      <c r="F16" s="89" t="str">
        <f>CONCATENATE("stůl č. ",zápis!I6)</f>
        <v xml:space="preserve">stůl č. </v>
      </c>
      <c r="H16" s="88" t="str">
        <f>CONCATENATE("Sk: Ž ",MID(INDEX('sk 1-6, 7-12 - Ženy'!$C$1:'sk 1-6, 7-12 - Ženy'!$C$17,MOD(TRUNC((COLUMN()-1)/7),2 )*15+2,1),LEN("skupina ")+1,10))</f>
        <v>Sk: Ž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Ženy'!$AE$1</f>
        <v>45773</v>
      </c>
      <c r="L16" s="62" t="e">
        <f ca="1">IF(LEN(INDIRECT(CONCATENATE("'sk 1-6, 7-12 - Ženy'!AT",INDIRECT(ADDRESS(ROW(),COLUMN()-2)))))=0,"","NEHRÁT")</f>
        <v>#NAME?</v>
      </c>
      <c r="M16" s="89" t="str">
        <f>CONCATENATE("stůl č. ",zápis!I9)</f>
        <v xml:space="preserve">stůl č. </v>
      </c>
    </row>
    <row r="17" spans="1:13" ht="36" customHeight="1" thickBot="1">
      <c r="A17" s="214" t="str">
        <f>CONCATENATE(IF(COUNTIF(seznam!$A$2:$A$25, INDEX('sk 1-6, 7-12 - Ženy'!$AP$1:$AP$37,$C16,1) )=1,VLOOKUP(INDEX('sk 1-6, 7-12 - Ženy'!$AP$1:$AP$37,$C16,1),seznam!$A$2:$C$25,2,FALSE),"------"),"   (",IF(COUNTIF(seznam!$A$2:$A$25, INDEX('sk 1-6, 7-12 - Ženy'!$AP$1:$AP$37,$C16,1) )=1,VLOOKUP( INDEX('sk 1-6, 7-12 - Ženy'!$AP$1:$AP$37,$C16,1),seznam!$A$2:$C$25,3,FALSE),"------"),")")</f>
        <v>Klašková Alžběta   (KST FOSFA LVA)</v>
      </c>
      <c r="B17" s="215"/>
      <c r="C17" s="215"/>
      <c r="D17" s="214" t="str">
        <f>CONCATENATE(IF(COUNTIF(seznam!$A$2:$A$25, INDEX('sk 1-6, 7-12 - Ženy'!$AQ$1:$AQ$37,$C16,1) )=1,VLOOKUP( INDEX('sk 1-6, 7-12 - Ženy'!$AQ$1:$AQ$37,$C16,1),seznam!$A$2:$C$25,2,FALSE),"------"),"   (",IF(COUNTIF(seznam!$A$2:$A$25, INDEX('sk 1-6, 7-12 - Ženy'!$AQ$1:$AQ$37,$C16,1) )=1,VLOOKUP( INDEX('sk 1-6, 7-12 - Ženy'!$AQ$1:$AQ$37,$C16,1),seznam!$A$2:$C$25,3,FALSE),"------"),")")</f>
        <v>Pilitowská Ela   (KST Blansko)</v>
      </c>
      <c r="E17" s="215"/>
      <c r="F17" s="216"/>
      <c r="H17" s="214" t="str">
        <f>CONCATENATE(IF(COUNTIF(seznam!$A$2:$A$25, INDEX('sk 1-6, 7-12 - Ženy'!$AP$1:$AP$37,$J16,1) )=1,VLOOKUP(INDEX('sk 1-6, 7-12 - Ženy'!$AP$1:$AP$37,$J16,1),seznam!$A$2:$C$25,2,FALSE),"------"),"   (",IF(COUNTIF(seznam!$A$2:$A$25, INDEX('sk 1-6, 7-12 - Ženy'!$AP$1:$AP$37,$J16,1) )=1,VLOOKUP( INDEX('sk 1-6, 7-12 - Ženy'!$AP$1:$AP$37,$J16,1),seznam!$A$2:$C$25,3,FALSE),"------"),")")</f>
        <v>Svobodová Kristýna   (Jiskra Strážnice)</v>
      </c>
      <c r="I17" s="215"/>
      <c r="J17" s="215"/>
      <c r="K17" s="214" t="str">
        <f>CONCATENATE(IF(COUNTIF(seznam!$A$2:$A$25, INDEX('sk 1-6, 7-12 - Ženy'!$AQ$1:$AQ$37,$J16,1) )=1,VLOOKUP( INDEX('sk 1-6, 7-12 - Ženy'!$AQ$1:$AQ$37,$J16,1),seznam!$A$2:$C$25,2,FALSE),"------"),"   (",IF(COUNTIF(seznam!$A$2:$A$25, INDEX('sk 1-6, 7-12 - Ženy'!$AQ$1:$AQ$37,$J16,1) )=1,VLOOKUP( INDEX('sk 1-6, 7-12 - Ženy'!$AQ$1:$AQ$37,$J16,1),seznam!$A$2:$C$25,3,FALSE),"------"),")")</f>
        <v>Krupková Klaudie   (KST Blansko)</v>
      </c>
      <c r="L17" s="215"/>
      <c r="M17" s="216"/>
    </row>
    <row r="18" spans="1:13" ht="14.25" customHeight="1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>
      <c r="A20" s="217" t="str">
        <f>CONCATENATE("Rozhodčí: ",IFERROR(VLOOKUP('sk 1-6, 7-12 - Ženy'!$AS$5,seznam!$A$2:$C$25,2),""))</f>
        <v>Rozhodčí: Solfronková Ema</v>
      </c>
      <c r="B20" s="206"/>
      <c r="C20" s="218"/>
      <c r="D20" s="205" t="s">
        <v>30</v>
      </c>
      <c r="E20" s="206"/>
      <c r="F20" s="207"/>
      <c r="H20" s="217" t="str">
        <f>CONCATENATE("Rozhodčí: ",IFERROR(VLOOKUP('sk 1-6, 7-12 - Ženy'!$AS$8,seznam!$A$2:$C$25,2),""))</f>
        <v>Rozhodčí: Žilková Elen</v>
      </c>
      <c r="I20" s="206"/>
      <c r="J20" s="218"/>
      <c r="K20" s="205" t="s">
        <v>30</v>
      </c>
      <c r="L20" s="206"/>
      <c r="M20" s="207"/>
    </row>
    <row r="21" spans="1:13" ht="18" customHeight="1" thickBot="1"/>
    <row r="22" spans="1:13" ht="36" customHeight="1">
      <c r="A22" s="208" t="str">
        <f>'sk 1-6, 7-12 - Ženy'!$C$1</f>
        <v>Žebříčkový turnaj - U11 Ž - II.stupeň</v>
      </c>
      <c r="B22" s="209"/>
      <c r="C22" s="209"/>
      <c r="D22" s="209"/>
      <c r="E22" s="209"/>
      <c r="F22" s="210"/>
      <c r="H22" s="208" t="str">
        <f>'sk 1-6, 7-12 - Ženy'!$C$1</f>
        <v>Žebříčkový turnaj - U11 Ž - II.stupeň</v>
      </c>
      <c r="I22" s="209"/>
      <c r="J22" s="209"/>
      <c r="K22" s="209"/>
      <c r="L22" s="209"/>
      <c r="M22" s="210"/>
    </row>
    <row r="23" spans="1:13" ht="36" customHeight="1" thickBot="1">
      <c r="A23" s="88" t="str">
        <f>CONCATENATE("Sk: Ž ",MID(INDEX('sk 1-6, 7-12 - Ženy'!$C$1:'sk 1-6, 7-12 - Ženy'!$C$17,MOD(TRUNC((COLUMN()-1)/7),2 )*15+2,1),LEN("skupina ")+1,10))</f>
        <v>Sk: Ž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Ženy'!$AE$1</f>
        <v>45773</v>
      </c>
      <c r="E23" s="62" t="str">
        <f ca="1">IF(LEN(INDIRECT(CONCATENATE("'sk 1-6, 7-12 - Ženy'!AT",INDIRECT(ADDRESS(ROW(),COLUMN()-2)))))=0,"","NEHRÁT")</f>
        <v>NEHRÁT</v>
      </c>
      <c r="F23" s="89" t="str">
        <f>CONCATENATE("stůl č. ",zápis!I25)</f>
        <v xml:space="preserve">stůl č. </v>
      </c>
      <c r="H23" s="88" t="str">
        <f>CONCATENATE("Sk: Ž ",MID(INDEX('sk 1-6, 7-12 - Ženy'!$C$1:'sk 1-6, 7-12 - Ženy'!$C$17,MOD(TRUNC((COLUMN()-1)/7),2 )*15+2,1),LEN("skupina ")+1,10))</f>
        <v>Sk: Ž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Ženy'!$AE$1</f>
        <v>45773</v>
      </c>
      <c r="L23" s="62" t="str">
        <f ca="1">IF(LEN(INDIRECT(CONCATENATE("'sk 1-6, 7-12 - Ženy'!AT",INDIRECT(ADDRESS(ROW(),COLUMN()-2)))))=0,"","NEHRÁT")</f>
        <v>NEHRÁT</v>
      </c>
      <c r="M23" s="89" t="str">
        <f>CONCATENATE("stůl č. ",zápis!I28)</f>
        <v xml:space="preserve">stůl č. </v>
      </c>
    </row>
    <row r="24" spans="1:13" ht="36" customHeight="1" thickBot="1">
      <c r="A24" s="214" t="str">
        <f>CONCATENATE(IF(COUNTIF(seznam!$A$2:$A$25, INDEX('sk 1-6, 7-12 - Ženy'!$AP$1:$AP$37,$C23,1) )=1,VLOOKUP(INDEX('sk 1-6, 7-12 - Ženy'!$AP$1:$AP$37,$C23,1),seznam!$A$2:$C$25,2,FALSE),"------"),"   (",IF(COUNTIF(seznam!$A$2:$A$25, INDEX('sk 1-6, 7-12 - Ženy'!$AP$1:$AP$37,$C23,1) )=1,VLOOKUP( INDEX('sk 1-6, 7-12 - Ženy'!$AP$1:$AP$37,$C23,1),seznam!$A$2:$C$25,3,FALSE),"------"),")")</f>
        <v>Jonášová Kristýna   (STK Zbraslavec)</v>
      </c>
      <c r="B24" s="215"/>
      <c r="C24" s="215"/>
      <c r="D24" s="214" t="str">
        <f>CONCATENATE(IF(COUNTIF(seznam!$A$2:$A$25, INDEX('sk 1-6, 7-12 - Ženy'!$AQ$1:$AQ$37,$C23,1) )=1,VLOOKUP( INDEX('sk 1-6, 7-12 - Ženy'!$AQ$1:$AQ$37,$C23,1),seznam!$A$2:$C$25,2,FALSE),"------"),"   (",IF(COUNTIF(seznam!$A$2:$A$25, INDEX('sk 1-6, 7-12 - Ženy'!$AQ$1:$AQ$37,$C23,1) )=1,VLOOKUP( INDEX('sk 1-6, 7-12 - Ženy'!$AQ$1:$AQ$37,$C23,1),seznam!$A$2:$C$25,3,FALSE),"------"),")")</f>
        <v>Pilitowská Ela   (KST Blansko)</v>
      </c>
      <c r="E24" s="215"/>
      <c r="F24" s="216"/>
      <c r="H24" s="214" t="str">
        <f>CONCATENATE(IF(COUNTIF(seznam!$A$2:$A$25, INDEX('sk 1-6, 7-12 - Ženy'!$AP$1:$AP$37,$J23,1) )=1,VLOOKUP(INDEX('sk 1-6, 7-12 - Ženy'!$AP$1:$AP$37,$J23,1),seznam!$A$2:$C$25,2,FALSE),"------"),"   (",IF(COUNTIF(seznam!$A$2:$A$25, INDEX('sk 1-6, 7-12 - Ženy'!$AP$1:$AP$37,$J23,1) )=1,VLOOKUP( INDEX('sk 1-6, 7-12 - Ženy'!$AP$1:$AP$37,$J23,1),seznam!$A$2:$C$25,3,FALSE),"------"),")")</f>
        <v>Maradová Eliška   (MS Brno)</v>
      </c>
      <c r="I24" s="215"/>
      <c r="J24" s="215"/>
      <c r="K24" s="214" t="str">
        <f>CONCATENATE(IF(COUNTIF(seznam!$A$2:$A$25, INDEX('sk 1-6, 7-12 - Ženy'!$AQ$1:$AQ$37,$J23,1) )=1,VLOOKUP( INDEX('sk 1-6, 7-12 - Ženy'!$AQ$1:$AQ$37,$J23,1),seznam!$A$2:$C$25,2,FALSE),"------"),"   (",IF(COUNTIF(seznam!$A$2:$A$25, INDEX('sk 1-6, 7-12 - Ženy'!$AQ$1:$AQ$37,$J23,1) )=1,VLOOKUP( INDEX('sk 1-6, 7-12 - Ženy'!$AQ$1:$AQ$37,$J23,1),seznam!$A$2:$C$25,3,FALSE),"------"),")")</f>
        <v>Krupková Klaudie   (KST Blansko)</v>
      </c>
      <c r="L24" s="215"/>
      <c r="M24" s="216"/>
    </row>
    <row r="25" spans="1:13" ht="14.25" customHeight="1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>
      <c r="A27" s="217" t="str">
        <f>CONCATENATE("Rozhodčí: ",IFERROR(VLOOKUP('sk 1-6, 7-12 - Ženy'!$AS$10,seznam!$A$2:$C$25,2),""))</f>
        <v>Rozhodčí: Straková Adéla</v>
      </c>
      <c r="B27" s="206"/>
      <c r="C27" s="218"/>
      <c r="D27" s="205" t="s">
        <v>30</v>
      </c>
      <c r="E27" s="206"/>
      <c r="F27" s="207"/>
      <c r="H27" s="217" t="str">
        <f>CONCATENATE("Rozhodčí: ",IFERROR(VLOOKUP('sk 1-6, 7-12 - Ženy'!$AS$13,seznam!$A$2:$C$25,2),""))</f>
        <v>Rozhodčí: Hasoňová Jana</v>
      </c>
      <c r="I27" s="206"/>
      <c r="J27" s="218"/>
      <c r="K27" s="205" t="s">
        <v>30</v>
      </c>
      <c r="L27" s="206"/>
      <c r="M27" s="207"/>
    </row>
    <row r="28" spans="1:13" ht="18" customHeight="1" thickBot="1"/>
    <row r="29" spans="1:13" ht="36" customHeight="1">
      <c r="A29" s="208" t="str">
        <f>'sk 1-6, 7-12 - Ženy'!$C$1</f>
        <v>Žebříčkový turnaj - U11 Ž - II.stupeň</v>
      </c>
      <c r="B29" s="209"/>
      <c r="C29" s="209"/>
      <c r="D29" s="209"/>
      <c r="E29" s="209"/>
      <c r="F29" s="210"/>
      <c r="H29" s="208" t="str">
        <f>'sk 1-6, 7-12 - Ženy'!$C$1</f>
        <v>Žebříčkový turnaj - U11 Ž - II.stupeň</v>
      </c>
      <c r="I29" s="209"/>
      <c r="J29" s="209"/>
      <c r="K29" s="209"/>
      <c r="L29" s="209"/>
      <c r="M29" s="210"/>
    </row>
    <row r="30" spans="1:13" ht="36" customHeight="1" thickBot="1">
      <c r="A30" s="88" t="str">
        <f>CONCATENATE("Sk: Ž ",MID(INDEX('sk 1-6, 7-12 - Ženy'!$C$1:'sk 1-6, 7-12 - Ženy'!$C$17,MOD(TRUNC((COLUMN()-1)/7),2 )*15+2,1),LEN("skupina ")+1,10))</f>
        <v>Sk: Ž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Ženy'!$AE$1</f>
        <v>45773</v>
      </c>
      <c r="E30" s="62" t="e">
        <f ca="1">IF(LEN(INDIRECT(CONCATENATE("'sk 1-6, 7-12 - Ženy'!AT",INDIRECT(ADDRESS(ROW(),COLUMN()-2)))))=0,"","NEHRÁT")</f>
        <v>#NAME?</v>
      </c>
      <c r="F30" s="89" t="str">
        <f>CONCATENATE("stůl č. ",zápis!I26)</f>
        <v xml:space="preserve">stůl č. </v>
      </c>
      <c r="H30" s="88" t="str">
        <f>CONCATENATE("Sk: Ž ",MID(INDEX('sk 1-6, 7-12 - Ženy'!$C$1:'sk 1-6, 7-12 - Ženy'!$C$17,MOD(TRUNC((COLUMN()-1)/7),2 )*15+2,1),LEN("skupina ")+1,10))</f>
        <v>Sk: Ž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Ženy'!$AE$1</f>
        <v>45773</v>
      </c>
      <c r="L30" s="62" t="e">
        <f ca="1">IF(LEN(INDIRECT(CONCATENATE("'sk 1-6, 7-12 - Ženy'!AT",INDIRECT(ADDRESS(ROW(),COLUMN()-2)))))=0,"","NEHRÁT")</f>
        <v>#NAME?</v>
      </c>
      <c r="M30" s="89" t="str">
        <f>CONCATENATE("stůl č. ",zápis!I29)</f>
        <v xml:space="preserve">stůl č. </v>
      </c>
    </row>
    <row r="31" spans="1:13" ht="36" customHeight="1" thickBot="1">
      <c r="A31" s="214" t="str">
        <f>CONCATENATE(IF(COUNTIF(seznam!$A$2:$A$25, INDEX('sk 1-6, 7-12 - Ženy'!$AP$1:$AP$37,$C30,1) )=1,VLOOKUP(INDEX('sk 1-6, 7-12 - Ženy'!$AP$1:$AP$37,$C30,1),seznam!$A$2:$C$25,2,FALSE),"------"),"   (",IF(COUNTIF(seznam!$A$2:$A$25, INDEX('sk 1-6, 7-12 - Ženy'!$AP$1:$AP$37,$C30,1) )=1,VLOOKUP( INDEX('sk 1-6, 7-12 - Ženy'!$AP$1:$AP$37,$C30,1),seznam!$A$2:$C$25,3,FALSE),"------"),")")</f>
        <v>Straková Adéla   (Vlast Ježov)</v>
      </c>
      <c r="B31" s="215"/>
      <c r="C31" s="215"/>
      <c r="D31" s="214" t="str">
        <f>CONCATENATE(IF(COUNTIF(seznam!$A$2:$A$25, INDEX('sk 1-6, 7-12 - Ženy'!$AQ$1:$AQ$37,$C30,1) )=1,VLOOKUP( INDEX('sk 1-6, 7-12 - Ženy'!$AQ$1:$AQ$37,$C30,1),seznam!$A$2:$C$25,2,FALSE),"------"),"   (",IF(COUNTIF(seznam!$A$2:$A$25, INDEX('sk 1-6, 7-12 - Ženy'!$AQ$1:$AQ$37,$C30,1) )=1,VLOOKUP( INDEX('sk 1-6, 7-12 - Ženy'!$AQ$1:$AQ$37,$C30,1),seznam!$A$2:$C$25,3,FALSE),"------"),")")</f>
        <v>Klašková Alžběta   (KST FOSFA LVA)</v>
      </c>
      <c r="E31" s="215"/>
      <c r="F31" s="216"/>
      <c r="H31" s="214" t="str">
        <f>CONCATENATE(IF(COUNTIF(seznam!$A$2:$A$25, INDEX('sk 1-6, 7-12 - Ženy'!$AP$1:$AP$37,$J30,1) )=1,VLOOKUP(INDEX('sk 1-6, 7-12 - Ženy'!$AP$1:$AP$37,$J30,1),seznam!$A$2:$C$25,2,FALSE),"------"),"   (",IF(COUNTIF(seznam!$A$2:$A$25, INDEX('sk 1-6, 7-12 - Ženy'!$AP$1:$AP$37,$J30,1) )=1,VLOOKUP( INDEX('sk 1-6, 7-12 - Ženy'!$AP$1:$AP$37,$J30,1),seznam!$A$2:$C$25,3,FALSE),"------"),")")</f>
        <v>Hasoňová Jana   (SKST Hodonín)</v>
      </c>
      <c r="I31" s="215"/>
      <c r="J31" s="215"/>
      <c r="K31" s="214" t="str">
        <f>CONCATENATE(IF(COUNTIF(seznam!$A$2:$A$25, INDEX('sk 1-6, 7-12 - Ženy'!$AQ$1:$AQ$37,$J30,1) )=1,VLOOKUP( INDEX('sk 1-6, 7-12 - Ženy'!$AQ$1:$AQ$37,$J30,1),seznam!$A$2:$C$25,2,FALSE),"------"),"   (",IF(COUNTIF(seznam!$A$2:$A$25, INDEX('sk 1-6, 7-12 - Ženy'!$AQ$1:$AQ$37,$J30,1) )=1,VLOOKUP( INDEX('sk 1-6, 7-12 - Ženy'!$AQ$1:$AQ$37,$J30,1),seznam!$A$2:$C$25,3,FALSE),"------"),")")</f>
        <v>Svobodová Kristýna   (Jiskra Strážnice)</v>
      </c>
      <c r="L31" s="215"/>
      <c r="M31" s="216"/>
    </row>
    <row r="32" spans="1:13" ht="14.25" customHeight="1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>
      <c r="A34" s="217" t="str">
        <f>CONCATENATE("Rozhodčí: ",IFERROR(VLOOKUP('sk 1-6, 7-12 - Ženy'!$AS$11,seznam!$A$2:$C$25,2),""))</f>
        <v>Rozhodčí: Křepelová Kamila</v>
      </c>
      <c r="B34" s="206"/>
      <c r="C34" s="218"/>
      <c r="D34" s="205" t="s">
        <v>30</v>
      </c>
      <c r="E34" s="206"/>
      <c r="F34" s="207"/>
      <c r="H34" s="217" t="str">
        <f>CONCATENATE("Rozhodčí: ",IFERROR(VLOOKUP('sk 1-6, 7-12 - Ženy'!$AS$14,seznam!$A$2:$C$25,2),""))</f>
        <v>Rozhodčí: Zouharová Beáta</v>
      </c>
      <c r="I34" s="206"/>
      <c r="J34" s="218"/>
      <c r="K34" s="205" t="s">
        <v>30</v>
      </c>
      <c r="L34" s="206"/>
      <c r="M34" s="207"/>
    </row>
    <row r="35" spans="1:13" ht="18" customHeight="1" thickBot="1"/>
    <row r="36" spans="1:13" ht="36" customHeight="1">
      <c r="A36" s="208" t="str">
        <f>'sk 1-6, 7-12 - Ženy'!$C$1</f>
        <v>Žebříčkový turnaj - U11 Ž - II.stupeň</v>
      </c>
      <c r="B36" s="209"/>
      <c r="C36" s="209"/>
      <c r="D36" s="209"/>
      <c r="E36" s="209"/>
      <c r="F36" s="210"/>
      <c r="H36" s="208" t="str">
        <f>'sk 1-6, 7-12 - Ženy'!$C$1</f>
        <v>Žebříčkový turnaj - U11 Ž - II.stupeň</v>
      </c>
      <c r="I36" s="209"/>
      <c r="J36" s="209"/>
      <c r="K36" s="209"/>
      <c r="L36" s="209"/>
      <c r="M36" s="210"/>
    </row>
    <row r="37" spans="1:13" ht="36" customHeight="1" thickBot="1">
      <c r="A37" s="88" t="str">
        <f>CONCATENATE("Sk: Ž ",MID(INDEX('sk 1-6, 7-12 - Ženy'!$C$1:'sk 1-6, 7-12 - Ženy'!$C$17,MOD(TRUNC((COLUMN()-1)/7),2 )*15+2,1),LEN("skupina ")+1,10))</f>
        <v>Sk: Ž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Ženy'!$AE$1</f>
        <v>45773</v>
      </c>
      <c r="E37" s="62" t="str">
        <f ca="1">IF(LEN(INDIRECT(CONCATENATE("'sk 1-6, 7-12 - Ženy'!AT",INDIRECT(ADDRESS(ROW(),COLUMN()-2)))))=0,"","NEHRÁT")</f>
        <v>NEHRÁT</v>
      </c>
      <c r="F37" s="89" t="str">
        <f>CONCATENATE("stůl č. ",zápis!I27)</f>
        <v xml:space="preserve">stůl č. </v>
      </c>
      <c r="H37" s="88" t="str">
        <f>CONCATENATE("Sk: Ž ",MID(INDEX('sk 1-6, 7-12 - Ženy'!$C$1:'sk 1-6, 7-12 - Ženy'!$C$17,MOD(TRUNC((COLUMN()-1)/7),2 )*15+2,1),LEN("skupina ")+1,10))</f>
        <v>Sk: Ž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Ženy'!$AE$1</f>
        <v>45773</v>
      </c>
      <c r="L37" s="62" t="str">
        <f ca="1">IF(LEN(INDIRECT(CONCATENATE("'sk 1-6, 7-12 - Ženy'!AT",INDIRECT(ADDRESS(ROW(),COLUMN()-2)))))=0,"","NEHRÁT")</f>
        <v>NEHRÁT</v>
      </c>
      <c r="M37" s="89" t="str">
        <f>CONCATENATE("stůl č. ",zápis!I30)</f>
        <v xml:space="preserve">stůl č. </v>
      </c>
    </row>
    <row r="38" spans="1:13" ht="36" customHeight="1" thickBot="1">
      <c r="A38" s="214" t="str">
        <f>CONCATENATE(IF(COUNTIF(seznam!$A$2:$A$25, INDEX('sk 1-6, 7-12 - Ženy'!$AP$1:$AP$37,$C37,1) )=1,VLOOKUP(INDEX('sk 1-6, 7-12 - Ženy'!$AP$1:$AP$37,$C37,1),seznam!$A$2:$C$25,2,FALSE),"------"),"   (",IF(COUNTIF(seznam!$A$2:$A$25, INDEX('sk 1-6, 7-12 - Ženy'!$AP$1:$AP$37,$C37,1) )=1,VLOOKUP( INDEX('sk 1-6, 7-12 - Ženy'!$AP$1:$AP$37,$C37,1),seznam!$A$2:$C$25,3,FALSE),"------"),")")</f>
        <v>Solfronková Ema   (MS Brno)</v>
      </c>
      <c r="B38" s="215"/>
      <c r="C38" s="215"/>
      <c r="D38" s="214" t="str">
        <f>CONCATENATE(IF(COUNTIF(seznam!$A$2:$A$25, INDEX('sk 1-6, 7-12 - Ženy'!$AQ$1:$AQ$37,$C37,1) )=1,VLOOKUP( INDEX('sk 1-6, 7-12 - Ženy'!$AQ$1:$AQ$37,$C37,1),seznam!$A$2:$C$25,2,FALSE),"------"),"   (",IF(COUNTIF(seznam!$A$2:$A$25, INDEX('sk 1-6, 7-12 - Ženy'!$AQ$1:$AQ$37,$C37,1) )=1,VLOOKUP( INDEX('sk 1-6, 7-12 - Ženy'!$AQ$1:$AQ$37,$C37,1),seznam!$A$2:$C$25,3,FALSE),"------"),")")</f>
        <v>Křepelová Kamila   (STK Zbraslavec)</v>
      </c>
      <c r="E38" s="215"/>
      <c r="F38" s="216"/>
      <c r="H38" s="214" t="str">
        <f>CONCATENATE(IF(COUNTIF(seznam!$A$2:$A$25, INDEX('sk 1-6, 7-12 - Ženy'!$AP$1:$AP$37,$J37,1) )=1,VLOOKUP(INDEX('sk 1-6, 7-12 - Ženy'!$AP$1:$AP$37,$J37,1),seznam!$A$2:$C$25,2,FALSE),"------"),"   (",IF(COUNTIF(seznam!$A$2:$A$25, INDEX('sk 1-6, 7-12 - Ženy'!$AP$1:$AP$37,$J37,1) )=1,VLOOKUP( INDEX('sk 1-6, 7-12 - Ženy'!$AP$1:$AP$37,$J37,1),seznam!$A$2:$C$25,3,FALSE),"------"),")")</f>
        <v>Žilková Elen   (Prace)</v>
      </c>
      <c r="I38" s="215"/>
      <c r="J38" s="215"/>
      <c r="K38" s="214" t="str">
        <f>CONCATENATE(IF(COUNTIF(seznam!$A$2:$A$25, INDEX('sk 1-6, 7-12 - Ženy'!$AQ$1:$AQ$37,$J37,1) )=1,VLOOKUP( INDEX('sk 1-6, 7-12 - Ženy'!$AQ$1:$AQ$37,$J37,1),seznam!$A$2:$C$25,2,FALSE),"------"),"   (",IF(COUNTIF(seznam!$A$2:$A$25, INDEX('sk 1-6, 7-12 - Ženy'!$AQ$1:$AQ$37,$J37,1) )=1,VLOOKUP( INDEX('sk 1-6, 7-12 - Ženy'!$AQ$1:$AQ$37,$J37,1),seznam!$A$2:$C$25,3,FALSE),"------"),")")</f>
        <v>Zouharová Beáta   (KST Blansko)</v>
      </c>
      <c r="L38" s="215"/>
      <c r="M38" s="216"/>
    </row>
    <row r="39" spans="1:13" ht="14.25" customHeight="1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>
      <c r="A41" s="217" t="str">
        <f>CONCATENATE("Rozhodčí: ",IFERROR(VLOOKUP('sk 1-6, 7-12 - Ženy'!$AS$12,seznam!$A$2:$C$25,2),""))</f>
        <v>Rozhodčí: Jonášová Kristýna</v>
      </c>
      <c r="B41" s="206"/>
      <c r="C41" s="218"/>
      <c r="D41" s="205" t="s">
        <v>30</v>
      </c>
      <c r="E41" s="206"/>
      <c r="F41" s="207"/>
      <c r="H41" s="217" t="str">
        <f>CONCATENATE("Rozhodčí: ",IFERROR(VLOOKUP('sk 1-6, 7-12 - Ženy'!$AS$15,seznam!$A$2:$C$25,2),""))</f>
        <v>Rozhodčí: Maradová Eliška</v>
      </c>
      <c r="I41" s="206"/>
      <c r="J41" s="218"/>
      <c r="K41" s="205" t="s">
        <v>30</v>
      </c>
      <c r="L41" s="206"/>
      <c r="M41" s="207"/>
    </row>
    <row r="42" spans="1:13" ht="18" customHeight="1" thickBot="1"/>
    <row r="43" spans="1:13" ht="36" customHeight="1">
      <c r="A43" s="208" t="str">
        <f>'sk 1-6, 7-12 - Ženy'!$C$1</f>
        <v>Žebříčkový turnaj - U11 Ž - II.stupeň</v>
      </c>
      <c r="B43" s="209"/>
      <c r="C43" s="209"/>
      <c r="D43" s="209"/>
      <c r="E43" s="209"/>
      <c r="F43" s="210"/>
      <c r="H43" s="208" t="str">
        <f>'sk 1-6, 7-12 - Ženy'!$C$1</f>
        <v>Žebříčkový turnaj - U11 Ž - II.stupeň</v>
      </c>
      <c r="I43" s="209"/>
      <c r="J43" s="209"/>
      <c r="K43" s="209"/>
      <c r="L43" s="209"/>
      <c r="M43" s="210"/>
    </row>
    <row r="44" spans="1:13" ht="36" customHeight="1" thickBot="1">
      <c r="A44" s="88" t="str">
        <f>CONCATENATE("Sk: Ž ",MID(INDEX('sk 1-6, 7-12 - Ženy'!$C$1:'sk 1-6, 7-12 - Ženy'!$C$17,MOD(TRUNC((COLUMN()-1)/7),2 )*15+2,1),LEN("skupina ")+1,10))</f>
        <v>Sk: Ž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Ženy'!$AE$1</f>
        <v>45773</v>
      </c>
      <c r="E44" s="62" t="e">
        <f ca="1">IF(LEN(INDIRECT(CONCATENATE("'sk 1-6, 7-12 - Ženy'!AT",INDIRECT(ADDRESS(ROW(),COLUMN()-2)))))=0,"","NEHRÁT")</f>
        <v>#NAME?</v>
      </c>
      <c r="F44" s="89" t="str">
        <f>CONCATENATE("stůl č. ",zápis!I46)</f>
        <v xml:space="preserve">stůl č. </v>
      </c>
      <c r="H44" s="88" t="str">
        <f>CONCATENATE("Sk: Ž ",MID(INDEX('sk 1-6, 7-12 - Ženy'!$C$1:'sk 1-6, 7-12 - Ženy'!$C$17,MOD(TRUNC((COLUMN()-1)/7),2 )*15+2,1),LEN("skupina ")+1,10))</f>
        <v>Sk: Ž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Ženy'!$AE$1</f>
        <v>45773</v>
      </c>
      <c r="L44" s="62" t="e">
        <f ca="1">IF(LEN(INDIRECT(CONCATENATE("'sk 1-6, 7-12 - Ženy'!AT",INDIRECT(ADDRESS(ROW(),COLUMN()-2)))))=0,"","NEHRÁT")</f>
        <v>#NAME?</v>
      </c>
      <c r="M44" s="89" t="str">
        <f>CONCATENATE("stůl č. ",zápis!I49)</f>
        <v xml:space="preserve">stůl č. </v>
      </c>
    </row>
    <row r="45" spans="1:13" ht="36" customHeight="1" thickBot="1">
      <c r="A45" s="214" t="str">
        <f>CONCATENATE(IF(COUNTIF(seznam!$A$2:$A$25, INDEX('sk 1-6, 7-12 - Ženy'!$AP$1:$AP$37,$C44,1) )=1,VLOOKUP(INDEX('sk 1-6, 7-12 - Ženy'!$AP$1:$AP$37,$C44,1),seznam!$A$2:$C$25,2,FALSE),"------"),"   (",IF(COUNTIF(seznam!$A$2:$A$25, INDEX('sk 1-6, 7-12 - Ženy'!$AP$1:$AP$37,$C44,1) )=1,VLOOKUP( INDEX('sk 1-6, 7-12 - Ženy'!$AP$1:$AP$37,$C44,1),seznam!$A$2:$C$25,3,FALSE),"------"),")")</f>
        <v>Křepelová Kamila   (STK Zbraslavec)</v>
      </c>
      <c r="B45" s="215"/>
      <c r="C45" s="215"/>
      <c r="D45" s="214" t="str">
        <f>CONCATENATE(IF(COUNTIF(seznam!$A$2:$A$25, INDEX('sk 1-6, 7-12 - Ženy'!$AQ$1:$AQ$37,$C44,1) )=1,VLOOKUP( INDEX('sk 1-6, 7-12 - Ženy'!$AQ$1:$AQ$37,$C44,1),seznam!$A$2:$C$25,2,FALSE),"------"),"   (",IF(COUNTIF(seznam!$A$2:$A$25, INDEX('sk 1-6, 7-12 - Ženy'!$AQ$1:$AQ$37,$C44,1) )=1,VLOOKUP( INDEX('sk 1-6, 7-12 - Ženy'!$AQ$1:$AQ$37,$C44,1),seznam!$A$2:$C$25,3,FALSE),"------"),")")</f>
        <v>Jonášová Kristýna   (STK Zbraslavec)</v>
      </c>
      <c r="E45" s="215"/>
      <c r="F45" s="216"/>
      <c r="H45" s="214" t="str">
        <f>CONCATENATE(IF(COUNTIF(seznam!$A$2:$A$25, INDEX('sk 1-6, 7-12 - Ženy'!$AP$1:$AP$37,$J44,1) )=1,VLOOKUP(INDEX('sk 1-6, 7-12 - Ženy'!$AP$1:$AP$37,$J44,1),seznam!$A$2:$C$25,2,FALSE),"------"),"   (",IF(COUNTIF(seznam!$A$2:$A$25, INDEX('sk 1-6, 7-12 - Ženy'!$AP$1:$AP$37,$J44,1) )=1,VLOOKUP( INDEX('sk 1-6, 7-12 - Ženy'!$AP$1:$AP$37,$J44,1),seznam!$A$2:$C$25,3,FALSE),"------"),")")</f>
        <v>Zouharová Beáta   (KST Blansko)</v>
      </c>
      <c r="I45" s="215"/>
      <c r="J45" s="215"/>
      <c r="K45" s="214" t="str">
        <f>CONCATENATE(IF(COUNTIF(seznam!$A$2:$A$25, INDEX('sk 1-6, 7-12 - Ženy'!$AQ$1:$AQ$37,$J44,1) )=1,VLOOKUP( INDEX('sk 1-6, 7-12 - Ženy'!$AQ$1:$AQ$37,$J44,1),seznam!$A$2:$C$25,2,FALSE),"------"),"   (",IF(COUNTIF(seznam!$A$2:$A$25, INDEX('sk 1-6, 7-12 - Ženy'!$AQ$1:$AQ$37,$J44,1) )=1,VLOOKUP( INDEX('sk 1-6, 7-12 - Ženy'!$AQ$1:$AQ$37,$J44,1),seznam!$A$2:$C$25,3,FALSE),"------"),")")</f>
        <v>Maradová Eliška   (MS Brno)</v>
      </c>
      <c r="L45" s="215"/>
      <c r="M45" s="216"/>
    </row>
    <row r="46" spans="1:13" ht="14.25" customHeight="1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>
      <c r="A48" s="217" t="str">
        <f>CONCATENATE("Rozhodčí: ",IFERROR(VLOOKUP('sk 1-6, 7-12 - Ženy'!$AS$17,seznam!$A$2:$C$25,2),""))</f>
        <v>Rozhodčí: Pilitowská Ela</v>
      </c>
      <c r="B48" s="206"/>
      <c r="C48" s="218"/>
      <c r="D48" s="205" t="s">
        <v>30</v>
      </c>
      <c r="E48" s="206"/>
      <c r="F48" s="207"/>
      <c r="H48" s="217" t="str">
        <f>CONCATENATE("Rozhodčí: ",IFERROR(VLOOKUP('sk 1-6, 7-12 - Ženy'!$AS$20,seznam!$A$2:$C$25,2),""))</f>
        <v>Rozhodčí: Krupková Klaudie</v>
      </c>
      <c r="I48" s="206"/>
      <c r="J48" s="218"/>
      <c r="K48" s="205" t="s">
        <v>30</v>
      </c>
      <c r="L48" s="206"/>
      <c r="M48" s="207"/>
    </row>
    <row r="49" spans="1:13" ht="18" customHeight="1" thickBot="1"/>
    <row r="50" spans="1:13" ht="36" customHeight="1">
      <c r="A50" s="208" t="str">
        <f>'sk 1-6, 7-12 - Ženy'!$C$1</f>
        <v>Žebříčkový turnaj - U11 Ž - II.stupeň</v>
      </c>
      <c r="B50" s="209"/>
      <c r="C50" s="209"/>
      <c r="D50" s="209"/>
      <c r="E50" s="209"/>
      <c r="F50" s="210"/>
      <c r="H50" s="208" t="str">
        <f>'sk 1-6, 7-12 - Ženy'!$C$1</f>
        <v>Žebříčkový turnaj - U11 Ž - II.stupeň</v>
      </c>
      <c r="I50" s="209"/>
      <c r="J50" s="209"/>
      <c r="K50" s="209"/>
      <c r="L50" s="209"/>
      <c r="M50" s="210"/>
    </row>
    <row r="51" spans="1:13" ht="36" customHeight="1" thickBot="1">
      <c r="A51" s="88" t="str">
        <f>CONCATENATE("Sk: Ž ",MID(INDEX('sk 1-6, 7-12 - Ženy'!$C$1:'sk 1-6, 7-12 - Ženy'!$C$17,MOD(TRUNC((COLUMN()-1)/7),2 )*15+2,1),LEN("skupina ")+1,10))</f>
        <v>Sk: Ž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Ženy'!$AE$1</f>
        <v>45773</v>
      </c>
      <c r="E51" s="62" t="str">
        <f ca="1">IF(LEN(INDIRECT(CONCATENATE("'sk 1-6, 7-12 - Ženy'!AT",INDIRECT(ADDRESS(ROW(),COLUMN()-2)))))=0,"","NEHRÁT")</f>
        <v>NEHRÁT</v>
      </c>
      <c r="F51" s="89" t="str">
        <f>CONCATENATE("stůl č. ",zápis!I47)</f>
        <v xml:space="preserve">stůl č. </v>
      </c>
      <c r="H51" s="88" t="str">
        <f>CONCATENATE("Sk: Ž ",MID(INDEX('sk 1-6, 7-12 - Ženy'!$C$1:'sk 1-6, 7-12 - Ženy'!$C$17,MOD(TRUNC((COLUMN()-1)/7),2 )*15+2,1),LEN("skupina ")+1,10))</f>
        <v>Sk: Ž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Ženy'!$AE$1</f>
        <v>45773</v>
      </c>
      <c r="L51" s="62" t="str">
        <f ca="1">IF(LEN(INDIRECT(CONCATENATE("'sk 1-6, 7-12 - Ženy'!AT",INDIRECT(ADDRESS(ROW(),COLUMN()-2)))))=0,"","NEHRÁT")</f>
        <v>NEHRÁT</v>
      </c>
      <c r="M51" s="89" t="str">
        <f>CONCATENATE("stůl č. ",zápis!I50)</f>
        <v xml:space="preserve">stůl č. </v>
      </c>
    </row>
    <row r="52" spans="1:13" ht="36" customHeight="1" thickBot="1">
      <c r="A52" s="214" t="str">
        <f>CONCATENATE(IF(COUNTIF(seznam!$A$2:$A$25, INDEX('sk 1-6, 7-12 - Ženy'!$AP$1:$AP$37,$C51,1) )=1,VLOOKUP(INDEX('sk 1-6, 7-12 - Ženy'!$AP$1:$AP$37,$C51,1),seznam!$A$2:$C$25,2,FALSE),"------"),"   (",IF(COUNTIF(seznam!$A$2:$A$25, INDEX('sk 1-6, 7-12 - Ženy'!$AP$1:$AP$37,$C51,1) )=1,VLOOKUP( INDEX('sk 1-6, 7-12 - Ženy'!$AP$1:$AP$37,$C51,1),seznam!$A$2:$C$25,3,FALSE),"------"),")")</f>
        <v>Klašková Alžběta   (KST FOSFA LVA)</v>
      </c>
      <c r="B52" s="215"/>
      <c r="C52" s="215"/>
      <c r="D52" s="214" t="str">
        <f>CONCATENATE(IF(COUNTIF(seznam!$A$2:$A$25, INDEX('sk 1-6, 7-12 - Ženy'!$AQ$1:$AQ$37,$C51,1) )=1,VLOOKUP( INDEX('sk 1-6, 7-12 - Ženy'!$AQ$1:$AQ$37,$C51,1),seznam!$A$2:$C$25,2,FALSE),"------"),"   (",IF(COUNTIF(seznam!$A$2:$A$25, INDEX('sk 1-6, 7-12 - Ženy'!$AQ$1:$AQ$37,$C51,1) )=1,VLOOKUP( INDEX('sk 1-6, 7-12 - Ženy'!$AQ$1:$AQ$37,$C51,1),seznam!$A$2:$C$25,3,FALSE),"------"),")")</f>
        <v>Solfronková Ema   (MS Brno)</v>
      </c>
      <c r="E52" s="215"/>
      <c r="F52" s="216"/>
      <c r="H52" s="214" t="str">
        <f>CONCATENATE(IF(COUNTIF(seznam!$A$2:$A$25, INDEX('sk 1-6, 7-12 - Ženy'!$AP$1:$AP$37,$J51,1) )=1,VLOOKUP(INDEX('sk 1-6, 7-12 - Ženy'!$AP$1:$AP$37,$J51,1),seznam!$A$2:$C$25,2,FALSE),"------"),"   (",IF(COUNTIF(seznam!$A$2:$A$25, INDEX('sk 1-6, 7-12 - Ženy'!$AP$1:$AP$37,$J51,1) )=1,VLOOKUP( INDEX('sk 1-6, 7-12 - Ženy'!$AP$1:$AP$37,$J51,1),seznam!$A$2:$C$25,3,FALSE),"------"),")")</f>
        <v>Svobodová Kristýna   (Jiskra Strážnice)</v>
      </c>
      <c r="I52" s="215"/>
      <c r="J52" s="215"/>
      <c r="K52" s="214" t="str">
        <f>CONCATENATE(IF(COUNTIF(seznam!$A$2:$A$25, INDEX('sk 1-6, 7-12 - Ženy'!$AQ$1:$AQ$37,$J51,1) )=1,VLOOKUP( INDEX('sk 1-6, 7-12 - Ženy'!$AQ$1:$AQ$37,$J51,1),seznam!$A$2:$C$25,2,FALSE),"------"),"   (",IF(COUNTIF(seznam!$A$2:$A$25, INDEX('sk 1-6, 7-12 - Ženy'!$AQ$1:$AQ$37,$J51,1) )=1,VLOOKUP( INDEX('sk 1-6, 7-12 - Ženy'!$AQ$1:$AQ$37,$J51,1),seznam!$A$2:$C$25,3,FALSE),"------"),")")</f>
        <v>Žilková Elen   (Prace)</v>
      </c>
      <c r="L52" s="215"/>
      <c r="M52" s="216"/>
    </row>
    <row r="53" spans="1:13" ht="14.25" customHeight="1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>
      <c r="A55" s="217" t="str">
        <f>CONCATENATE("Rozhodčí: ",IFERROR(VLOOKUP('sk 1-6, 7-12 - Ženy'!$AS$18,seznam!$A$2:$C$25,2),""))</f>
        <v>Rozhodčí: Straková Adéla</v>
      </c>
      <c r="B55" s="206"/>
      <c r="C55" s="218"/>
      <c r="D55" s="205" t="s">
        <v>30</v>
      </c>
      <c r="E55" s="206"/>
      <c r="F55" s="207"/>
      <c r="H55" s="217" t="str">
        <f>CONCATENATE("Rozhodčí: ",IFERROR(VLOOKUP('sk 1-6, 7-12 - Ženy'!$AS$21,seznam!$A$2:$C$25,2),""))</f>
        <v>Rozhodčí: Hasoňová Jana</v>
      </c>
      <c r="I55" s="206"/>
      <c r="J55" s="218"/>
      <c r="K55" s="205" t="s">
        <v>30</v>
      </c>
      <c r="L55" s="206"/>
      <c r="M55" s="207"/>
    </row>
    <row r="56" spans="1:13" ht="18" customHeight="1" thickBot="1"/>
    <row r="57" spans="1:13" ht="36" customHeight="1">
      <c r="A57" s="208" t="str">
        <f>'sk 1-6, 7-12 - Ženy'!$C$1</f>
        <v>Žebříčkový turnaj - U11 Ž - II.stupeň</v>
      </c>
      <c r="B57" s="209"/>
      <c r="C57" s="209"/>
      <c r="D57" s="209"/>
      <c r="E57" s="209"/>
      <c r="F57" s="210"/>
      <c r="H57" s="208" t="str">
        <f>'sk 1-6, 7-12 - Ženy'!$C$1</f>
        <v>Žebříčkový turnaj - U11 Ž - II.stupeň</v>
      </c>
      <c r="I57" s="209"/>
      <c r="J57" s="209"/>
      <c r="K57" s="209"/>
      <c r="L57" s="209"/>
      <c r="M57" s="210"/>
    </row>
    <row r="58" spans="1:13" ht="36" customHeight="1" thickBot="1">
      <c r="A58" s="88" t="str">
        <f>CONCATENATE("Sk: Ž ",MID(INDEX('sk 1-6, 7-12 - Ženy'!$C$1:'sk 1-6, 7-12 - Ženy'!$C$17,MOD(TRUNC((COLUMN()-1)/7),2 )*15+2,1),LEN("skupina ")+1,10))</f>
        <v>Sk: Ž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Ženy'!$AE$1</f>
        <v>45773</v>
      </c>
      <c r="E58" s="62" t="str">
        <f ca="1">IF(LEN(INDIRECT(CONCATENATE("'sk 1-6, 7-12 - Ženy'!AT",INDIRECT(ADDRESS(ROW(),COLUMN()-2)))))=0,"","NEHRÁT")</f>
        <v>NEHRÁT</v>
      </c>
      <c r="F58" s="89" t="str">
        <f>CONCATENATE("stůl č. ",zápis!I48)</f>
        <v xml:space="preserve">stůl č. </v>
      </c>
      <c r="H58" s="88" t="str">
        <f>CONCATENATE("Sk: Ž ",MID(INDEX('sk 1-6, 7-12 - Ženy'!$C$1:'sk 1-6, 7-12 - Ženy'!$C$17,MOD(TRUNC((COLUMN()-1)/7),2 )*15+2,1),LEN("skupina ")+1,10))</f>
        <v>Sk: Ž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Ženy'!$AE$1</f>
        <v>45773</v>
      </c>
      <c r="L58" s="62" t="str">
        <f ca="1">IF(LEN(INDIRECT(CONCATENATE("'sk 1-6, 7-12 - Ženy'!AT",INDIRECT(ADDRESS(ROW(),COLUMN()-2)))))=0,"","NEHRÁT")</f>
        <v>NEHRÁT</v>
      </c>
      <c r="M58" s="89" t="str">
        <f>CONCATENATE("stůl č. ",zápis!I51)</f>
        <v xml:space="preserve">stůl č. </v>
      </c>
    </row>
    <row r="59" spans="1:13" ht="36" customHeight="1" thickBot="1">
      <c r="A59" s="214" t="str">
        <f>CONCATENATE(IF(COUNTIF(seznam!$A$2:$A$25, INDEX('sk 1-6, 7-12 - Ženy'!$AP$1:$AP$37,$C58,1) )=1,VLOOKUP(INDEX('sk 1-6, 7-12 - Ženy'!$AP$1:$AP$37,$C58,1),seznam!$A$2:$C$25,2,FALSE),"------"),"   (",IF(COUNTIF(seznam!$A$2:$A$25, INDEX('sk 1-6, 7-12 - Ženy'!$AP$1:$AP$37,$C58,1) )=1,VLOOKUP( INDEX('sk 1-6, 7-12 - Ženy'!$AP$1:$AP$37,$C58,1),seznam!$A$2:$C$25,3,FALSE),"------"),")")</f>
        <v>Pilitowská Ela   (KST Blansko)</v>
      </c>
      <c r="B59" s="215"/>
      <c r="C59" s="215"/>
      <c r="D59" s="214" t="str">
        <f>CONCATENATE(IF(COUNTIF(seznam!$A$2:$A$25, INDEX('sk 1-6, 7-12 - Ženy'!$AQ$1:$AQ$37,$C58,1) )=1,VLOOKUP( INDEX('sk 1-6, 7-12 - Ženy'!$AQ$1:$AQ$37,$C58,1),seznam!$A$2:$C$25,2,FALSE),"------"),"   (",IF(COUNTIF(seznam!$A$2:$A$25, INDEX('sk 1-6, 7-12 - Ženy'!$AQ$1:$AQ$37,$C58,1) )=1,VLOOKUP( INDEX('sk 1-6, 7-12 - Ženy'!$AQ$1:$AQ$37,$C58,1),seznam!$A$2:$C$25,3,FALSE),"------"),")")</f>
        <v>Straková Adéla   (Vlast Ježov)</v>
      </c>
      <c r="E59" s="215"/>
      <c r="F59" s="216"/>
      <c r="H59" s="214" t="str">
        <f>CONCATENATE(IF(COUNTIF(seznam!$A$2:$A$25, INDEX('sk 1-6, 7-12 - Ženy'!$AP$1:$AP$37,$J58,1) )=1,VLOOKUP(INDEX('sk 1-6, 7-12 - Ženy'!$AP$1:$AP$37,$J58,1),seznam!$A$2:$C$25,2,FALSE),"------"),"   (",IF(COUNTIF(seznam!$A$2:$A$25, INDEX('sk 1-6, 7-12 - Ženy'!$AP$1:$AP$37,$J58,1) )=1,VLOOKUP( INDEX('sk 1-6, 7-12 - Ženy'!$AP$1:$AP$37,$J58,1),seznam!$A$2:$C$25,3,FALSE),"------"),")")</f>
        <v>Krupková Klaudie   (KST Blansko)</v>
      </c>
      <c r="I59" s="215"/>
      <c r="J59" s="215"/>
      <c r="K59" s="214" t="str">
        <f>CONCATENATE(IF(COUNTIF(seznam!$A$2:$A$25, INDEX('sk 1-6, 7-12 - Ženy'!$AQ$1:$AQ$37,$J58,1) )=1,VLOOKUP( INDEX('sk 1-6, 7-12 - Ženy'!$AQ$1:$AQ$37,$J58,1),seznam!$A$2:$C$25,2,FALSE),"------"),"   (",IF(COUNTIF(seznam!$A$2:$A$25, INDEX('sk 1-6, 7-12 - Ženy'!$AQ$1:$AQ$37,$J58,1) )=1,VLOOKUP( INDEX('sk 1-6, 7-12 - Ženy'!$AQ$1:$AQ$37,$J58,1),seznam!$A$2:$C$25,3,FALSE),"------"),")")</f>
        <v>Hasoňová Jana   (SKST Hodonín)</v>
      </c>
      <c r="L59" s="215"/>
      <c r="M59" s="216"/>
    </row>
    <row r="60" spans="1:13" ht="14.25" customHeight="1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>
      <c r="A62" s="217" t="str">
        <f>CONCATENATE("Rozhodčí: ",IFERROR(VLOOKUP('sk 1-6, 7-12 - Ženy'!$AS$19,seznam!$A$2:$C$25,2),""))</f>
        <v>Rozhodčí: Křepelová Kamila</v>
      </c>
      <c r="B62" s="206"/>
      <c r="C62" s="218"/>
      <c r="D62" s="205" t="s">
        <v>30</v>
      </c>
      <c r="E62" s="206"/>
      <c r="F62" s="207"/>
      <c r="H62" s="217" t="str">
        <f>CONCATENATE("Rozhodčí: ",IFERROR(VLOOKUP('sk 1-6, 7-12 - Ženy'!$AS$22,seznam!$A$2:$C$25,2),""))</f>
        <v>Rozhodčí: Zouharová Beáta</v>
      </c>
      <c r="I62" s="206"/>
      <c r="J62" s="218"/>
      <c r="K62" s="205" t="s">
        <v>30</v>
      </c>
      <c r="L62" s="206"/>
      <c r="M62" s="207"/>
    </row>
    <row r="63" spans="1:13" ht="18" customHeight="1" thickBot="1"/>
    <row r="64" spans="1:13" ht="36" customHeight="1">
      <c r="A64" s="208" t="str">
        <f>'sk 1-6, 7-12 - Ženy'!$C$1</f>
        <v>Žebříčkový turnaj - U11 Ž - II.stupeň</v>
      </c>
      <c r="B64" s="209"/>
      <c r="C64" s="209"/>
      <c r="D64" s="209"/>
      <c r="E64" s="209"/>
      <c r="F64" s="210"/>
      <c r="H64" s="208" t="str">
        <f>'sk 1-6, 7-12 - Ženy'!$C$1</f>
        <v>Žebříčkový turnaj - U11 Ž - II.stupeň</v>
      </c>
      <c r="I64" s="209"/>
      <c r="J64" s="209"/>
      <c r="K64" s="209"/>
      <c r="L64" s="209"/>
      <c r="M64" s="210"/>
    </row>
    <row r="65" spans="1:13" ht="36" customHeight="1" thickBot="1">
      <c r="A65" s="88" t="str">
        <f>CONCATENATE("Sk: Ž ",MID(INDEX('sk 1-6, 7-12 - Ženy'!$C$1:'sk 1-6, 7-12 - Ženy'!$C$17,MOD(TRUNC((COLUMN()-1)/7),2 )*15+2,1),LEN("skupina ")+1,10))</f>
        <v>Sk: Ž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Ženy'!$AE$1</f>
        <v>45773</v>
      </c>
      <c r="E65" s="62" t="str">
        <f ca="1">IF(LEN(INDIRECT(CONCATENATE("'sk 1-6, 7-12 - Ženy'!AT",INDIRECT(ADDRESS(ROW(),COLUMN()-2)))))=0,"","NEHRÁT")</f>
        <v>NEHRÁT</v>
      </c>
      <c r="F65" s="89" t="str">
        <f>CONCATENATE("stůl č. ",zápis!I67)</f>
        <v xml:space="preserve">stůl č. </v>
      </c>
      <c r="H65" s="88" t="str">
        <f>CONCATENATE("Sk: Ž ",MID(INDEX('sk 1-6, 7-12 - Ženy'!$C$1:'sk 1-6, 7-12 - Ženy'!$C$17,MOD(TRUNC((COLUMN()-1)/7),2 )*15+2,1),LEN("skupina ")+1,10))</f>
        <v>Sk: Ž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Ženy'!$AE$1</f>
        <v>45773</v>
      </c>
      <c r="L65" s="62" t="str">
        <f ca="1">IF(LEN(INDIRECT(CONCATENATE("'sk 1-6, 7-12 - Ženy'!AT",INDIRECT(ADDRESS(ROW(),COLUMN()-2)))))=0,"","NEHRÁT")</f>
        <v>NEHRÁT</v>
      </c>
      <c r="M65" s="89" t="str">
        <f>CONCATENATE("stůl č. ",zápis!I70)</f>
        <v xml:space="preserve">stůl č. </v>
      </c>
    </row>
    <row r="66" spans="1:13" ht="36" customHeight="1" thickBot="1">
      <c r="A66" s="214" t="str">
        <f>CONCATENATE(IF(COUNTIF(seznam!$A$2:$A$25, INDEX('sk 1-6, 7-12 - Ženy'!$AP$1:$AP$37,$C65,1) )=1,VLOOKUP(INDEX('sk 1-6, 7-12 - Ženy'!$AP$1:$AP$37,$C65,1),seznam!$A$2:$C$25,2,FALSE),"------"),"   (",IF(COUNTIF(seznam!$A$2:$A$25, INDEX('sk 1-6, 7-12 - Ženy'!$AP$1:$AP$37,$C65,1) )=1,VLOOKUP( INDEX('sk 1-6, 7-12 - Ženy'!$AP$1:$AP$37,$C65,1),seznam!$A$2:$C$25,3,FALSE),"------"),")")</f>
        <v>Jonášová Kristýna   (STK Zbraslavec)</v>
      </c>
      <c r="B66" s="215"/>
      <c r="C66" s="215"/>
      <c r="D66" s="214" t="str">
        <f>CONCATENATE(IF(COUNTIF(seznam!$A$2:$A$25, INDEX('sk 1-6, 7-12 - Ženy'!$AQ$1:$AQ$37,$C65,1) )=1,VLOOKUP( INDEX('sk 1-6, 7-12 - Ženy'!$AQ$1:$AQ$37,$C65,1),seznam!$A$2:$C$25,2,FALSE),"------"),"   (",IF(COUNTIF(seznam!$A$2:$A$25, INDEX('sk 1-6, 7-12 - Ženy'!$AQ$1:$AQ$37,$C65,1) )=1,VLOOKUP( INDEX('sk 1-6, 7-12 - Ženy'!$AQ$1:$AQ$37,$C65,1),seznam!$A$2:$C$25,3,FALSE),"------"),")")</f>
        <v>Straková Adéla   (Vlast Ježov)</v>
      </c>
      <c r="E66" s="215"/>
      <c r="F66" s="216"/>
      <c r="H66" s="214" t="str">
        <f>CONCATENATE(IF(COUNTIF(seznam!$A$2:$A$25, INDEX('sk 1-6, 7-12 - Ženy'!$AP$1:$AP$37,$J65,1) )=1,VLOOKUP(INDEX('sk 1-6, 7-12 - Ženy'!$AP$1:$AP$37,$J65,1),seznam!$A$2:$C$25,2,FALSE),"------"),"   (",IF(COUNTIF(seznam!$A$2:$A$25, INDEX('sk 1-6, 7-12 - Ženy'!$AP$1:$AP$37,$J65,1) )=1,VLOOKUP( INDEX('sk 1-6, 7-12 - Ženy'!$AP$1:$AP$37,$J65,1),seznam!$A$2:$C$25,3,FALSE),"------"),")")</f>
        <v>Maradová Eliška   (MS Brno)</v>
      </c>
      <c r="I66" s="215"/>
      <c r="J66" s="215"/>
      <c r="K66" s="214" t="str">
        <f>CONCATENATE(IF(COUNTIF(seznam!$A$2:$A$25, INDEX('sk 1-6, 7-12 - Ženy'!$AQ$1:$AQ$37,$J65,1) )=1,VLOOKUP( INDEX('sk 1-6, 7-12 - Ženy'!$AQ$1:$AQ$37,$J65,1),seznam!$A$2:$C$25,2,FALSE),"------"),"   (",IF(COUNTIF(seznam!$A$2:$A$25, INDEX('sk 1-6, 7-12 - Ženy'!$AQ$1:$AQ$37,$J65,1) )=1,VLOOKUP( INDEX('sk 1-6, 7-12 - Ženy'!$AQ$1:$AQ$37,$J65,1),seznam!$A$2:$C$25,3,FALSE),"------"),")")</f>
        <v>Hasoňová Jana   (SKST Hodonín)</v>
      </c>
      <c r="L66" s="215"/>
      <c r="M66" s="216"/>
    </row>
    <row r="67" spans="1:13" ht="14.25" customHeight="1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>
      <c r="A69" s="217" t="str">
        <f>CONCATENATE("Rozhodčí: ",IFERROR(VLOOKUP('sk 1-6, 7-12 - Ženy'!$AS$24,seznam!$A$2:$C$25,2),""))</f>
        <v>Rozhodčí: Klašková Alžběta</v>
      </c>
      <c r="B69" s="206"/>
      <c r="C69" s="218"/>
      <c r="D69" s="205" t="s">
        <v>30</v>
      </c>
      <c r="E69" s="206"/>
      <c r="F69" s="207"/>
      <c r="H69" s="217" t="str">
        <f>CONCATENATE("Rozhodčí: ",IFERROR(VLOOKUP('sk 1-6, 7-12 - Ženy'!$AS$27,seznam!$A$2:$C$25,2),""))</f>
        <v>Rozhodčí: Svobodová Kristýna</v>
      </c>
      <c r="I69" s="206"/>
      <c r="J69" s="218"/>
      <c r="K69" s="205" t="s">
        <v>30</v>
      </c>
      <c r="L69" s="206"/>
      <c r="M69" s="207"/>
    </row>
    <row r="70" spans="1:13" ht="18" customHeight="1" thickBot="1"/>
    <row r="71" spans="1:13" ht="36" customHeight="1">
      <c r="A71" s="208" t="str">
        <f>'sk 1-6, 7-12 - Ženy'!$C$1</f>
        <v>Žebříčkový turnaj - U11 Ž - II.stupeň</v>
      </c>
      <c r="B71" s="209"/>
      <c r="C71" s="209"/>
      <c r="D71" s="209"/>
      <c r="E71" s="209"/>
      <c r="F71" s="210"/>
      <c r="H71" s="208" t="str">
        <f>'sk 1-6, 7-12 - Ženy'!$C$1</f>
        <v>Žebříčkový turnaj - U11 Ž - II.stupeň</v>
      </c>
      <c r="I71" s="209"/>
      <c r="J71" s="209"/>
      <c r="K71" s="209"/>
      <c r="L71" s="209"/>
      <c r="M71" s="210"/>
    </row>
    <row r="72" spans="1:13" ht="36" customHeight="1" thickBot="1">
      <c r="A72" s="88" t="str">
        <f>CONCATENATE("Sk: Ž ",MID(INDEX('sk 1-6, 7-12 - Ženy'!$C$1:'sk 1-6, 7-12 - Ženy'!$C$17,MOD(TRUNC((COLUMN()-1)/7),2 )*15+2,1),LEN("skupina ")+1,10))</f>
        <v>Sk: Ž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Ženy'!$AE$1</f>
        <v>45773</v>
      </c>
      <c r="E72" s="62" t="e">
        <f ca="1">IF(LEN(INDIRECT(CONCATENATE("'sk 1-6, 7-12 - Ženy'!AT",INDIRECT(ADDRESS(ROW(),COLUMN()-2)))))=0,"","NEHRÁT")</f>
        <v>#NAME?</v>
      </c>
      <c r="F72" s="89" t="str">
        <f>CONCATENATE("stůl č. ",zápis!I68)</f>
        <v xml:space="preserve">stůl č. </v>
      </c>
      <c r="H72" s="88" t="str">
        <f>CONCATENATE("Sk: Ž ",MID(INDEX('sk 1-6, 7-12 - Ženy'!$C$1:'sk 1-6, 7-12 - Ženy'!$C$17,MOD(TRUNC((COLUMN()-1)/7),2 )*15+2,1),LEN("skupina ")+1,10))</f>
        <v>Sk: Ž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Ženy'!$AE$1</f>
        <v>45773</v>
      </c>
      <c r="L72" s="62" t="e">
        <f ca="1">IF(LEN(INDIRECT(CONCATENATE("'sk 1-6, 7-12 - Ženy'!AT",INDIRECT(ADDRESS(ROW(),COLUMN()-2)))))=0,"","NEHRÁT")</f>
        <v>#NAME?</v>
      </c>
      <c r="M72" s="89" t="str">
        <f>CONCATENATE("stůl č. ",zápis!I71)</f>
        <v xml:space="preserve">stůl č. </v>
      </c>
    </row>
    <row r="73" spans="1:13" ht="36" customHeight="1" thickBot="1">
      <c r="A73" s="214" t="str">
        <f>CONCATENATE(IF(COUNTIF(seznam!$A$2:$A$25, INDEX('sk 1-6, 7-12 - Ženy'!$AP$1:$AP$37,$C72,1) )=1,VLOOKUP(INDEX('sk 1-6, 7-12 - Ženy'!$AP$1:$AP$37,$C72,1),seznam!$A$2:$C$25,2,FALSE),"------"),"   (",IF(COUNTIF(seznam!$A$2:$A$25, INDEX('sk 1-6, 7-12 - Ženy'!$AP$1:$AP$37,$C72,1) )=1,VLOOKUP( INDEX('sk 1-6, 7-12 - Ženy'!$AP$1:$AP$37,$C72,1),seznam!$A$2:$C$25,3,FALSE),"------"),")")</f>
        <v>Solfronková Ema   (MS Brno)</v>
      </c>
      <c r="B73" s="215"/>
      <c r="C73" s="215"/>
      <c r="D73" s="214" t="str">
        <f>CONCATENATE(IF(COUNTIF(seznam!$A$2:$A$25, INDEX('sk 1-6, 7-12 - Ženy'!$AQ$1:$AQ$37,$C72,1) )=1,VLOOKUP( INDEX('sk 1-6, 7-12 - Ženy'!$AQ$1:$AQ$37,$C72,1),seznam!$A$2:$C$25,2,FALSE),"------"),"   (",IF(COUNTIF(seznam!$A$2:$A$25, INDEX('sk 1-6, 7-12 - Ženy'!$AQ$1:$AQ$37,$C72,1) )=1,VLOOKUP( INDEX('sk 1-6, 7-12 - Ženy'!$AQ$1:$AQ$37,$C72,1),seznam!$A$2:$C$25,3,FALSE),"------"),")")</f>
        <v>Pilitowská Ela   (KST Blansko)</v>
      </c>
      <c r="E73" s="215"/>
      <c r="F73" s="216"/>
      <c r="H73" s="214" t="str">
        <f>CONCATENATE(IF(COUNTIF(seznam!$A$2:$A$25, INDEX('sk 1-6, 7-12 - Ženy'!$AP$1:$AP$37,$J72,1) )=1,VLOOKUP(INDEX('sk 1-6, 7-12 - Ženy'!$AP$1:$AP$37,$J72,1),seznam!$A$2:$C$25,2,FALSE),"------"),"   (",IF(COUNTIF(seznam!$A$2:$A$25, INDEX('sk 1-6, 7-12 - Ženy'!$AP$1:$AP$37,$J72,1) )=1,VLOOKUP( INDEX('sk 1-6, 7-12 - Ženy'!$AP$1:$AP$37,$J72,1),seznam!$A$2:$C$25,3,FALSE),"------"),")")</f>
        <v>Žilková Elen   (Prace)</v>
      </c>
      <c r="I73" s="215"/>
      <c r="J73" s="215"/>
      <c r="K73" s="214" t="str">
        <f>CONCATENATE(IF(COUNTIF(seznam!$A$2:$A$25, INDEX('sk 1-6, 7-12 - Ženy'!$AQ$1:$AQ$37,$J72,1) )=1,VLOOKUP( INDEX('sk 1-6, 7-12 - Ženy'!$AQ$1:$AQ$37,$J72,1),seznam!$A$2:$C$25,2,FALSE),"------"),"   (",IF(COUNTIF(seznam!$A$2:$A$25, INDEX('sk 1-6, 7-12 - Ženy'!$AQ$1:$AQ$37,$J72,1) )=1,VLOOKUP( INDEX('sk 1-6, 7-12 - Ženy'!$AQ$1:$AQ$37,$J72,1),seznam!$A$2:$C$25,3,FALSE),"------"),")")</f>
        <v>Krupková Klaudie   (KST Blansko)</v>
      </c>
      <c r="L73" s="215"/>
      <c r="M73" s="216"/>
    </row>
    <row r="74" spans="1:13" ht="14.25" customHeight="1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>
      <c r="A76" s="217" t="str">
        <f>CONCATENATE("Rozhodčí: ",IFERROR(VLOOKUP('sk 1-6, 7-12 - Ženy'!$AS$25,seznam!$A$2:$C$25,2),""))</f>
        <v>Rozhodčí: Jonášová Kristýna</v>
      </c>
      <c r="B76" s="206"/>
      <c r="C76" s="218"/>
      <c r="D76" s="205" t="s">
        <v>30</v>
      </c>
      <c r="E76" s="206"/>
      <c r="F76" s="207"/>
      <c r="H76" s="217" t="str">
        <f>CONCATENATE("Rozhodčí: ",IFERROR(VLOOKUP('sk 1-6, 7-12 - Ženy'!$AS$28,seznam!$A$2:$C$25,2),""))</f>
        <v>Rozhodčí: Maradová Eliška</v>
      </c>
      <c r="I76" s="206"/>
      <c r="J76" s="218"/>
      <c r="K76" s="205" t="s">
        <v>30</v>
      </c>
      <c r="L76" s="206"/>
      <c r="M76" s="207"/>
    </row>
    <row r="77" spans="1:13" ht="18" customHeight="1" thickBot="1"/>
    <row r="78" spans="1:13" ht="36" customHeight="1">
      <c r="A78" s="208" t="str">
        <f>'sk 1-6, 7-12 - Ženy'!$C$1</f>
        <v>Žebříčkový turnaj - U11 Ž - II.stupeň</v>
      </c>
      <c r="B78" s="209"/>
      <c r="C78" s="209"/>
      <c r="D78" s="209"/>
      <c r="E78" s="209"/>
      <c r="F78" s="210"/>
      <c r="H78" s="208" t="str">
        <f>'sk 1-6, 7-12 - Ženy'!$C$1</f>
        <v>Žebříčkový turnaj - U11 Ž - II.stupeň</v>
      </c>
      <c r="I78" s="209"/>
      <c r="J78" s="209"/>
      <c r="K78" s="209"/>
      <c r="L78" s="209"/>
      <c r="M78" s="210"/>
    </row>
    <row r="79" spans="1:13" ht="36" customHeight="1" thickBot="1">
      <c r="A79" s="88" t="str">
        <f>CONCATENATE("Sk: Ž ",MID(INDEX('sk 1-6, 7-12 - Ženy'!$C$1:'sk 1-6, 7-12 - Ženy'!$C$17,MOD(TRUNC((COLUMN()-1)/7),2 )*15+2,1),LEN("skupina ")+1,10))</f>
        <v>Sk: Ž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Ženy'!$AE$1</f>
        <v>45773</v>
      </c>
      <c r="E79" s="62" t="str">
        <f ca="1">IF(LEN(INDIRECT(CONCATENATE("'sk 1-6, 7-12 - Ženy'!AT",INDIRECT(ADDRESS(ROW(),COLUMN()-2)))))=0,"","NEHRÁT")</f>
        <v>NEHRÁT</v>
      </c>
      <c r="F79" s="89" t="str">
        <f>CONCATENATE("stůl č. ",zápis!I69)</f>
        <v xml:space="preserve">stůl č. </v>
      </c>
      <c r="H79" s="88" t="str">
        <f>CONCATENATE("Sk: Ž ",MID(INDEX('sk 1-6, 7-12 - Ženy'!$C$1:'sk 1-6, 7-12 - Ženy'!$C$17,MOD(TRUNC((COLUMN()-1)/7),2 )*15+2,1),LEN("skupina ")+1,10))</f>
        <v>Sk: Ž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Ženy'!$AE$1</f>
        <v>45773</v>
      </c>
      <c r="L79" s="62" t="str">
        <f ca="1">IF(LEN(INDIRECT(CONCATENATE("'sk 1-6, 7-12 - Ženy'!AT",INDIRECT(ADDRESS(ROW(),COLUMN()-2)))))=0,"","NEHRÁT")</f>
        <v>NEHRÁT</v>
      </c>
      <c r="M79" s="89" t="str">
        <f>CONCATENATE("stůl č. ",zápis!I72)</f>
        <v xml:space="preserve">stůl č. </v>
      </c>
    </row>
    <row r="80" spans="1:13" ht="36" customHeight="1" thickBot="1">
      <c r="A80" s="214" t="str">
        <f>CONCATENATE(IF(COUNTIF(seznam!$A$2:$A$25, INDEX('sk 1-6, 7-12 - Ženy'!$AP$1:$AP$37,$C79,1) )=1,VLOOKUP(INDEX('sk 1-6, 7-12 - Ženy'!$AP$1:$AP$37,$C79,1),seznam!$A$2:$C$25,2,FALSE),"------"),"   (",IF(COUNTIF(seznam!$A$2:$A$25, INDEX('sk 1-6, 7-12 - Ženy'!$AP$1:$AP$37,$C79,1) )=1,VLOOKUP( INDEX('sk 1-6, 7-12 - Ženy'!$AP$1:$AP$37,$C79,1),seznam!$A$2:$C$25,3,FALSE),"------"),")")</f>
        <v>Křepelová Kamila   (STK Zbraslavec)</v>
      </c>
      <c r="B80" s="215"/>
      <c r="C80" s="215"/>
      <c r="D80" s="214" t="str">
        <f>CONCATENATE(IF(COUNTIF(seznam!$A$2:$A$25, INDEX('sk 1-6, 7-12 - Ženy'!$AQ$1:$AQ$37,$C79,1) )=1,VLOOKUP( INDEX('sk 1-6, 7-12 - Ženy'!$AQ$1:$AQ$37,$C79,1),seznam!$A$2:$C$25,2,FALSE),"------"),"   (",IF(COUNTIF(seznam!$A$2:$A$25, INDEX('sk 1-6, 7-12 - Ženy'!$AQ$1:$AQ$37,$C79,1) )=1,VLOOKUP( INDEX('sk 1-6, 7-12 - Ženy'!$AQ$1:$AQ$37,$C79,1),seznam!$A$2:$C$25,3,FALSE),"------"),")")</f>
        <v>Klašková Alžběta   (KST FOSFA LVA)</v>
      </c>
      <c r="E80" s="215"/>
      <c r="F80" s="216"/>
      <c r="H80" s="214" t="str">
        <f>CONCATENATE(IF(COUNTIF(seznam!$A$2:$A$25, INDEX('sk 1-6, 7-12 - Ženy'!$AP$1:$AP$37,$J79,1) )=1,VLOOKUP(INDEX('sk 1-6, 7-12 - Ženy'!$AP$1:$AP$37,$J79,1),seznam!$A$2:$C$25,2,FALSE),"------"),"   (",IF(COUNTIF(seznam!$A$2:$A$25, INDEX('sk 1-6, 7-12 - Ženy'!$AP$1:$AP$37,$J79,1) )=1,VLOOKUP( INDEX('sk 1-6, 7-12 - Ženy'!$AP$1:$AP$37,$J79,1),seznam!$A$2:$C$25,3,FALSE),"------"),")")</f>
        <v>Zouharová Beáta   (KST Blansko)</v>
      </c>
      <c r="I80" s="215"/>
      <c r="J80" s="215"/>
      <c r="K80" s="214" t="str">
        <f>CONCATENATE(IF(COUNTIF(seznam!$A$2:$A$25, INDEX('sk 1-6, 7-12 - Ženy'!$AQ$1:$AQ$37,$J79,1) )=1,VLOOKUP( INDEX('sk 1-6, 7-12 - Ženy'!$AQ$1:$AQ$37,$J79,1),seznam!$A$2:$C$25,2,FALSE),"------"),"   (",IF(COUNTIF(seznam!$A$2:$A$25, INDEX('sk 1-6, 7-12 - Ženy'!$AQ$1:$AQ$37,$J79,1) )=1,VLOOKUP( INDEX('sk 1-6, 7-12 - Ženy'!$AQ$1:$AQ$37,$J79,1),seznam!$A$2:$C$25,3,FALSE),"------"),")")</f>
        <v>Svobodová Kristýna   (Jiskra Strážnice)</v>
      </c>
      <c r="L80" s="215"/>
      <c r="M80" s="216"/>
    </row>
    <row r="81" spans="1:13" ht="14.25" customHeight="1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>
      <c r="A83" s="217" t="str">
        <f>CONCATENATE("Rozhodčí: ",IFERROR(VLOOKUP('sk 1-6, 7-12 - Ženy'!$AS$26,seznam!$A$2:$C$25,2),""))</f>
        <v>Rozhodčí: Solfronková Ema</v>
      </c>
      <c r="B83" s="206"/>
      <c r="C83" s="218"/>
      <c r="D83" s="205" t="s">
        <v>30</v>
      </c>
      <c r="E83" s="206"/>
      <c r="F83" s="207"/>
      <c r="H83" s="217" t="str">
        <f>CONCATENATE("Rozhodčí: ",IFERROR(VLOOKUP('sk 1-6, 7-12 - Ženy'!$AS$29,seznam!$A$2:$C$25,2),""))</f>
        <v>Rozhodčí: Žilková Elen</v>
      </c>
      <c r="I83" s="206"/>
      <c r="J83" s="218"/>
      <c r="K83" s="205" t="s">
        <v>30</v>
      </c>
      <c r="L83" s="206"/>
      <c r="M83" s="207"/>
    </row>
    <row r="84" spans="1:13" ht="18" customHeight="1" thickBot="1"/>
    <row r="85" spans="1:13" ht="36" customHeight="1">
      <c r="A85" s="208" t="str">
        <f>'sk 1-6, 7-12 - Ženy'!$C$1</f>
        <v>Žebříčkový turnaj - U11 Ž - II.stupeň</v>
      </c>
      <c r="B85" s="209"/>
      <c r="C85" s="209"/>
      <c r="D85" s="209"/>
      <c r="E85" s="209"/>
      <c r="F85" s="210"/>
      <c r="H85" s="208" t="str">
        <f>'sk 1-6, 7-12 - Ženy'!$C$1</f>
        <v>Žebříčkový turnaj - U11 Ž - II.stupeň</v>
      </c>
      <c r="I85" s="209"/>
      <c r="J85" s="209"/>
      <c r="K85" s="209"/>
      <c r="L85" s="209"/>
      <c r="M85" s="210"/>
    </row>
    <row r="86" spans="1:13" ht="36" customHeight="1" thickBot="1">
      <c r="A86" s="88" t="str">
        <f>CONCATENATE("Sk: Ž ",MID(INDEX('sk 1-6, 7-12 - Ženy'!$C$1:'sk 1-6, 7-12 - Ženy'!$C$17,MOD(TRUNC((COLUMN()-1)/7),2 )*15+2,1),LEN("skupina ")+1,10))</f>
        <v>Sk: Ž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Ženy'!$AE$1</f>
        <v>45773</v>
      </c>
      <c r="E86" s="62" t="e">
        <f ca="1">IF(LEN(INDIRECT(CONCATENATE("'sk 1-6, 7-12 - Ženy'!AT",INDIRECT(ADDRESS(ROW(),COLUMN()-2)))))=0,"","NEHRÁT")</f>
        <v>#NAME?</v>
      </c>
      <c r="F86" s="89" t="str">
        <f>CONCATENATE("stůl č. ",zápis!I87)</f>
        <v xml:space="preserve">stůl č. </v>
      </c>
      <c r="H86" s="88" t="str">
        <f>CONCATENATE("Sk: Ž ",MID(INDEX('sk 1-6, 7-12 - Ženy'!$C$1:'sk 1-6, 7-12 - Ženy'!$C$17,MOD(TRUNC((COLUMN()-1)/7),2 )*15+2,1),LEN("skupina ")+1,10))</f>
        <v>Sk: Ž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Ženy'!$AE$1</f>
        <v>45773</v>
      </c>
      <c r="L86" s="62" t="e">
        <f ca="1">IF(LEN(INDIRECT(CONCATENATE("'sk 1-6, 7-12 - Ženy'!AT",INDIRECT(ADDRESS(ROW(),COLUMN()-2)))))=0,"","NEHRÁT")</f>
        <v>#NAME?</v>
      </c>
      <c r="M86" s="89" t="str">
        <f>CONCATENATE("stůl č. ",zápis!I90)</f>
        <v xml:space="preserve">stůl č. </v>
      </c>
    </row>
    <row r="87" spans="1:13" ht="36" customHeight="1" thickBot="1">
      <c r="A87" s="214" t="str">
        <f>CONCATENATE(IF(COUNTIF(seznam!$A$2:$A$25, INDEX('sk 1-6, 7-12 - Ženy'!$AP$1:$AP$37,$C86,1) )=1,VLOOKUP(INDEX('sk 1-6, 7-12 - Ženy'!$AP$1:$AP$37,$C86,1),seznam!$A$2:$C$25,2,FALSE),"------"),"   (",IF(COUNTIF(seznam!$A$2:$A$25, INDEX('sk 1-6, 7-12 - Ženy'!$AP$1:$AP$37,$C86,1) )=1,VLOOKUP( INDEX('sk 1-6, 7-12 - Ženy'!$AP$1:$AP$37,$C86,1),seznam!$A$2:$C$25,3,FALSE),"------"),")")</f>
        <v>Klašková Alžběta   (KST FOSFA LVA)</v>
      </c>
      <c r="B87" s="215"/>
      <c r="C87" s="215"/>
      <c r="D87" s="214" t="str">
        <f>CONCATENATE(IF(COUNTIF(seznam!$A$2:$A$25, INDEX('sk 1-6, 7-12 - Ženy'!$AQ$1:$AQ$37,$C86,1) )=1,VLOOKUP( INDEX('sk 1-6, 7-12 - Ženy'!$AQ$1:$AQ$37,$C86,1),seznam!$A$2:$C$25,2,FALSE),"------"),"   (",IF(COUNTIF(seznam!$A$2:$A$25, INDEX('sk 1-6, 7-12 - Ženy'!$AQ$1:$AQ$37,$C86,1) )=1,VLOOKUP( INDEX('sk 1-6, 7-12 - Ženy'!$AQ$1:$AQ$37,$C86,1),seznam!$A$2:$C$25,3,FALSE),"------"),")")</f>
        <v>Jonášová Kristýna   (STK Zbraslavec)</v>
      </c>
      <c r="E87" s="215"/>
      <c r="F87" s="216"/>
      <c r="H87" s="214" t="str">
        <f>CONCATENATE(IF(COUNTIF(seznam!$A$2:$A$25, INDEX('sk 1-6, 7-12 - Ženy'!$AP$1:$AP$37,$J86,1) )=1,VLOOKUP(INDEX('sk 1-6, 7-12 - Ženy'!$AP$1:$AP$37,$J86,1),seznam!$A$2:$C$25,2,FALSE),"------"),"   (",IF(COUNTIF(seznam!$A$2:$A$25, INDEX('sk 1-6, 7-12 - Ženy'!$AP$1:$AP$37,$J86,1) )=1,VLOOKUP( INDEX('sk 1-6, 7-12 - Ženy'!$AP$1:$AP$37,$J86,1),seznam!$A$2:$C$25,3,FALSE),"------"),")")</f>
        <v>Svobodová Kristýna   (Jiskra Strážnice)</v>
      </c>
      <c r="I87" s="215"/>
      <c r="J87" s="215"/>
      <c r="K87" s="214" t="str">
        <f>CONCATENATE(IF(COUNTIF(seznam!$A$2:$A$25, INDEX('sk 1-6, 7-12 - Ženy'!$AQ$1:$AQ$37,$J86,1) )=1,VLOOKUP( INDEX('sk 1-6, 7-12 - Ženy'!$AQ$1:$AQ$37,$J86,1),seznam!$A$2:$C$25,2,FALSE),"------"),"   (",IF(COUNTIF(seznam!$A$2:$A$25, INDEX('sk 1-6, 7-12 - Ženy'!$AQ$1:$AQ$37,$J86,1) )=1,VLOOKUP( INDEX('sk 1-6, 7-12 - Ženy'!$AQ$1:$AQ$37,$J86,1),seznam!$A$2:$C$25,3,FALSE),"------"),")")</f>
        <v>Maradová Eliška   (MS Brno)</v>
      </c>
      <c r="L87" s="215"/>
      <c r="M87" s="216"/>
    </row>
    <row r="88" spans="1:13" ht="14.25" customHeight="1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>
      <c r="A90" s="217" t="str">
        <f>CONCATENATE("Rozhodčí: ",IFERROR(VLOOKUP('sk 1-6, 7-12 - Ženy'!$AS$31,seznam!$A$2:$C$25,2),""))</f>
        <v>Rozhodčí: Straková Adéla</v>
      </c>
      <c r="B90" s="206"/>
      <c r="C90" s="218"/>
      <c r="D90" s="205" t="s">
        <v>30</v>
      </c>
      <c r="E90" s="206"/>
      <c r="F90" s="207"/>
      <c r="H90" s="217" t="str">
        <f>CONCATENATE("Rozhodčí: ",IFERROR(VLOOKUP('sk 1-6, 7-12 - Ženy'!$AS$34,seznam!$A$2:$C$25,2),""))</f>
        <v>Rozhodčí: Hasoňová Jana</v>
      </c>
      <c r="I90" s="206"/>
      <c r="J90" s="218"/>
      <c r="K90" s="205" t="s">
        <v>30</v>
      </c>
      <c r="L90" s="206"/>
      <c r="M90" s="207"/>
    </row>
    <row r="91" spans="1:13" ht="18" customHeight="1" thickBot="1"/>
    <row r="92" spans="1:13" ht="36" customHeight="1">
      <c r="A92" s="208" t="str">
        <f>'sk 1-6, 7-12 - Ženy'!$C$1</f>
        <v>Žebříčkový turnaj - U11 Ž - II.stupeň</v>
      </c>
      <c r="B92" s="209"/>
      <c r="C92" s="209"/>
      <c r="D92" s="209"/>
      <c r="E92" s="209"/>
      <c r="F92" s="210"/>
      <c r="H92" s="208" t="str">
        <f>'sk 1-6, 7-12 - Ženy'!$C$1</f>
        <v>Žebříčkový turnaj - U11 Ž - II.stupeň</v>
      </c>
      <c r="I92" s="209"/>
      <c r="J92" s="209"/>
      <c r="K92" s="209"/>
      <c r="L92" s="209"/>
      <c r="M92" s="210"/>
    </row>
    <row r="93" spans="1:13" ht="36" customHeight="1" thickBot="1">
      <c r="A93" s="88" t="str">
        <f>CONCATENATE("Sk: Ž ",MID(INDEX('sk 1-6, 7-12 - Ženy'!$C$1:'sk 1-6, 7-12 - Ženy'!$C$17,MOD(TRUNC((COLUMN()-1)/7),2 )*15+2,1),LEN("skupina ")+1,10))</f>
        <v>Sk: Ž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Ženy'!$AE$1</f>
        <v>45773</v>
      </c>
      <c r="E93" s="62" t="e">
        <f ca="1">IF(LEN(INDIRECT(CONCATENATE("'sk 1-6, 7-12 - Ženy'!AT",INDIRECT(ADDRESS(ROW(),COLUMN()-2)))))=0,"","NEHRÁT")</f>
        <v>#NAME?</v>
      </c>
      <c r="F93" s="89" t="str">
        <f>CONCATENATE("stůl č. ",zápis!I88)</f>
        <v xml:space="preserve">stůl č. </v>
      </c>
      <c r="H93" s="88" t="str">
        <f>CONCATENATE("Sk: Ž ",MID(INDEX('sk 1-6, 7-12 - Ženy'!$C$1:'sk 1-6, 7-12 - Ženy'!$C$17,MOD(TRUNC((COLUMN()-1)/7),2 )*15+2,1),LEN("skupina ")+1,10))</f>
        <v>Sk: Ž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Ženy'!$AE$1</f>
        <v>45773</v>
      </c>
      <c r="L93" s="62" t="e">
        <f ca="1">IF(LEN(INDIRECT(CONCATENATE("'sk 1-6, 7-12 - Ženy'!AT",INDIRECT(ADDRESS(ROW(),COLUMN()-2)))))=0,"","NEHRÁT")</f>
        <v>#NAME?</v>
      </c>
      <c r="M93" s="89" t="str">
        <f>CONCATENATE("stůl č. ",zápis!I91)</f>
        <v xml:space="preserve">stůl č. </v>
      </c>
    </row>
    <row r="94" spans="1:13" ht="36" customHeight="1" thickBot="1">
      <c r="A94" s="214" t="str">
        <f>CONCATENATE(IF(COUNTIF(seznam!$A$2:$A$25, INDEX('sk 1-6, 7-12 - Ženy'!$AP$1:$AP$37,$C93,1) )=1,VLOOKUP(INDEX('sk 1-6, 7-12 - Ženy'!$AP$1:$AP$37,$C93,1),seznam!$A$2:$C$25,2,FALSE),"------"),"   (",IF(COUNTIF(seznam!$A$2:$A$25, INDEX('sk 1-6, 7-12 - Ženy'!$AP$1:$AP$37,$C93,1) )=1,VLOOKUP( INDEX('sk 1-6, 7-12 - Ženy'!$AP$1:$AP$37,$C93,1),seznam!$A$2:$C$25,3,FALSE),"------"),")")</f>
        <v>Pilitowská Ela   (KST Blansko)</v>
      </c>
      <c r="B94" s="215"/>
      <c r="C94" s="215"/>
      <c r="D94" s="214" t="str">
        <f>CONCATENATE(IF(COUNTIF(seznam!$A$2:$A$25, INDEX('sk 1-6, 7-12 - Ženy'!$AQ$1:$AQ$37,$C93,1) )=1,VLOOKUP( INDEX('sk 1-6, 7-12 - Ženy'!$AQ$1:$AQ$37,$C93,1),seznam!$A$2:$C$25,2,FALSE),"------"),"   (",IF(COUNTIF(seznam!$A$2:$A$25, INDEX('sk 1-6, 7-12 - Ženy'!$AQ$1:$AQ$37,$C93,1) )=1,VLOOKUP( INDEX('sk 1-6, 7-12 - Ženy'!$AQ$1:$AQ$37,$C93,1),seznam!$A$2:$C$25,3,FALSE),"------"),")")</f>
        <v>Křepelová Kamila   (STK Zbraslavec)</v>
      </c>
      <c r="E94" s="215"/>
      <c r="F94" s="216"/>
      <c r="H94" s="214" t="str">
        <f>CONCATENATE(IF(COUNTIF(seznam!$A$2:$A$25, INDEX('sk 1-6, 7-12 - Ženy'!$AP$1:$AP$37,$J93,1) )=1,VLOOKUP(INDEX('sk 1-6, 7-12 - Ženy'!$AP$1:$AP$37,$J93,1),seznam!$A$2:$C$25,2,FALSE),"------"),"   (",IF(COUNTIF(seznam!$A$2:$A$25, INDEX('sk 1-6, 7-12 - Ženy'!$AP$1:$AP$37,$J93,1) )=1,VLOOKUP( INDEX('sk 1-6, 7-12 - Ženy'!$AP$1:$AP$37,$J93,1),seznam!$A$2:$C$25,3,FALSE),"------"),")")</f>
        <v>Krupková Klaudie   (KST Blansko)</v>
      </c>
      <c r="I94" s="215"/>
      <c r="J94" s="215"/>
      <c r="K94" s="214" t="str">
        <f>CONCATENATE(IF(COUNTIF(seznam!$A$2:$A$25, INDEX('sk 1-6, 7-12 - Ženy'!$AQ$1:$AQ$37,$J93,1) )=1,VLOOKUP( INDEX('sk 1-6, 7-12 - Ženy'!$AQ$1:$AQ$37,$J93,1),seznam!$A$2:$C$25,2,FALSE),"------"),"   (",IF(COUNTIF(seznam!$A$2:$A$25, INDEX('sk 1-6, 7-12 - Ženy'!$AQ$1:$AQ$37,$J93,1) )=1,VLOOKUP( INDEX('sk 1-6, 7-12 - Ženy'!$AQ$1:$AQ$37,$J93,1),seznam!$A$2:$C$25,3,FALSE),"------"),")")</f>
        <v>Zouharová Beáta   (KST Blansko)</v>
      </c>
      <c r="L94" s="215"/>
      <c r="M94" s="216"/>
    </row>
    <row r="95" spans="1:13" ht="14.25" customHeight="1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>
      <c r="A97" s="217" t="str">
        <f>CONCATENATE("Rozhodčí: ",IFERROR(VLOOKUP('sk 1-6, 7-12 - Ženy'!$AS$32,seznam!$A$2:$C$25,2),""))</f>
        <v>Rozhodčí: Solfronková Ema</v>
      </c>
      <c r="B97" s="206"/>
      <c r="C97" s="218"/>
      <c r="D97" s="205" t="s">
        <v>30</v>
      </c>
      <c r="E97" s="206"/>
      <c r="F97" s="207"/>
      <c r="H97" s="217" t="str">
        <f>CONCATENATE("Rozhodčí: ",IFERROR(VLOOKUP('sk 1-6, 7-12 - Ženy'!$AS$35,seznam!$A$2:$C$25,2),""))</f>
        <v>Rozhodčí: Žilková Elen</v>
      </c>
      <c r="I97" s="206"/>
      <c r="J97" s="218"/>
      <c r="K97" s="205" t="s">
        <v>30</v>
      </c>
      <c r="L97" s="206"/>
      <c r="M97" s="207"/>
    </row>
    <row r="98" spans="1:13" ht="18" customHeight="1" thickBot="1"/>
    <row r="99" spans="1:13" ht="36" customHeight="1">
      <c r="A99" s="208" t="str">
        <f>'sk 1-6, 7-12 - Ženy'!$C$1</f>
        <v>Žebříčkový turnaj - U11 Ž - II.stupeň</v>
      </c>
      <c r="B99" s="209"/>
      <c r="C99" s="209"/>
      <c r="D99" s="209"/>
      <c r="E99" s="209"/>
      <c r="F99" s="210"/>
      <c r="H99" s="208" t="str">
        <f>'sk 1-6, 7-12 - Ženy'!$C$1</f>
        <v>Žebříčkový turnaj - U11 Ž - II.stupeň</v>
      </c>
      <c r="I99" s="209"/>
      <c r="J99" s="209"/>
      <c r="K99" s="209"/>
      <c r="L99" s="209"/>
      <c r="M99" s="210"/>
    </row>
    <row r="100" spans="1:13" ht="36" customHeight="1" thickBot="1">
      <c r="A100" s="88" t="str">
        <f>CONCATENATE("Sk: Ž ",MID(INDEX('sk 1-6, 7-12 - Ženy'!$C$1:'sk 1-6, 7-12 - Ženy'!$C$17,MOD(TRUNC((COLUMN()-1)/7),2 )*15+2,1),LEN("skupina ")+1,10))</f>
        <v>Sk: Ž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Ženy'!$AE$1</f>
        <v>45773</v>
      </c>
      <c r="E100" s="62" t="e">
        <f ca="1">IF(LEN(INDIRECT(CONCATENATE("'sk 1-6, 7-12 - Ženy'!AT",INDIRECT(ADDRESS(ROW(),COLUMN()-2)))))=0,"","NEHRÁT")</f>
        <v>#NAME?</v>
      </c>
      <c r="F100" s="89" t="str">
        <f>CONCATENATE("stůl č. ",zápis!I89)</f>
        <v xml:space="preserve">stůl č. </v>
      </c>
      <c r="H100" s="88" t="str">
        <f>CONCATENATE("Sk: Ž ",MID(INDEX('sk 1-6, 7-12 - Ženy'!$C$1:'sk 1-6, 7-12 - Ženy'!$C$17,MOD(TRUNC((COLUMN()-1)/7),2 )*15+2,1),LEN("skupina ")+1,10))</f>
        <v>Sk: Ž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Ženy'!$AE$1</f>
        <v>45773</v>
      </c>
      <c r="L100" s="62" t="e">
        <f ca="1">IF(LEN(INDIRECT(CONCATENATE("'sk 1-6, 7-12 - Ženy'!AT",INDIRECT(ADDRESS(ROW(),COLUMN()-2)))))=0,"","NEHRÁT")</f>
        <v>#NAME?</v>
      </c>
      <c r="M100" s="89" t="str">
        <f>CONCATENATE("stůl č. ",zápis!I92)</f>
        <v xml:space="preserve">stůl č. </v>
      </c>
    </row>
    <row r="101" spans="1:13" ht="36" customHeight="1" thickBot="1">
      <c r="A101" s="214" t="str">
        <f>CONCATENATE(IF(COUNTIF(seznam!$A$2:$A$25, INDEX('sk 1-6, 7-12 - Ženy'!$AP$1:$AP$37,$C100,1) )=1,VLOOKUP(INDEX('sk 1-6, 7-12 - Ženy'!$AP$1:$AP$37,$C100,1),seznam!$A$2:$C$25,2,FALSE),"------"),"   (",IF(COUNTIF(seznam!$A$2:$A$25, INDEX('sk 1-6, 7-12 - Ženy'!$AP$1:$AP$37,$C100,1) )=1,VLOOKUP( INDEX('sk 1-6, 7-12 - Ženy'!$AP$1:$AP$37,$C100,1),seznam!$A$2:$C$25,3,FALSE),"------"),")")</f>
        <v>Straková Adéla   (Vlast Ježov)</v>
      </c>
      <c r="B101" s="215"/>
      <c r="C101" s="215"/>
      <c r="D101" s="214" t="str">
        <f>CONCATENATE(IF(COUNTIF(seznam!$A$2:$A$25, INDEX('sk 1-6, 7-12 - Ženy'!$AQ$1:$AQ$37,$C100,1) )=1,VLOOKUP( INDEX('sk 1-6, 7-12 - Ženy'!$AQ$1:$AQ$37,$C100,1),seznam!$A$2:$C$25,2,FALSE),"------"),"   (",IF(COUNTIF(seznam!$A$2:$A$25, INDEX('sk 1-6, 7-12 - Ženy'!$AQ$1:$AQ$37,$C100,1) )=1,VLOOKUP( INDEX('sk 1-6, 7-12 - Ženy'!$AQ$1:$AQ$37,$C100,1),seznam!$A$2:$C$25,3,FALSE),"------"),")")</f>
        <v>Solfronková Ema   (MS Brno)</v>
      </c>
      <c r="E101" s="215"/>
      <c r="F101" s="216"/>
      <c r="H101" s="214" t="str">
        <f>CONCATENATE(IF(COUNTIF(seznam!$A$2:$A$25, INDEX('sk 1-6, 7-12 - Ženy'!$AP$1:$AP$37,$J100,1) )=1,VLOOKUP(INDEX('sk 1-6, 7-12 - Ženy'!$AP$1:$AP$37,$J100,1),seznam!$A$2:$C$25,2,FALSE),"------"),"   (",IF(COUNTIF(seznam!$A$2:$A$25, INDEX('sk 1-6, 7-12 - Ženy'!$AP$1:$AP$37,$J100,1) )=1,VLOOKUP( INDEX('sk 1-6, 7-12 - Ženy'!$AP$1:$AP$37,$J100,1),seznam!$A$2:$C$25,3,FALSE),"------"),")")</f>
        <v>Hasoňová Jana   (SKST Hodonín)</v>
      </c>
      <c r="I101" s="215"/>
      <c r="J101" s="215"/>
      <c r="K101" s="214" t="str">
        <f>CONCATENATE(IF(COUNTIF(seznam!$A$2:$A$25, INDEX('sk 1-6, 7-12 - Ženy'!$AQ$1:$AQ$37,$J100,1) )=1,VLOOKUP( INDEX('sk 1-6, 7-12 - Ženy'!$AQ$1:$AQ$37,$J100,1),seznam!$A$2:$C$25,2,FALSE),"------"),"   (",IF(COUNTIF(seznam!$A$2:$A$25, INDEX('sk 1-6, 7-12 - Ženy'!$AQ$1:$AQ$37,$J100,1) )=1,VLOOKUP( INDEX('sk 1-6, 7-12 - Ženy'!$AQ$1:$AQ$37,$J100,1),seznam!$A$2:$C$25,3,FALSE),"------"),")")</f>
        <v>Žilková Elen   (Prace)</v>
      </c>
      <c r="L101" s="215"/>
      <c r="M101" s="216"/>
    </row>
    <row r="102" spans="1:13" ht="14.25" customHeight="1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>
      <c r="A104" s="217" t="str">
        <f>CONCATENATE("Rozhodčí: ",IFERROR(VLOOKUP('sk 1-6, 7-12 - Ženy'!$AS$33,seznam!$A$2:$C$25,2),""))</f>
        <v>Rozhodčí: Klašková Alžběta</v>
      </c>
      <c r="B104" s="206"/>
      <c r="C104" s="218"/>
      <c r="D104" s="205" t="s">
        <v>30</v>
      </c>
      <c r="E104" s="206"/>
      <c r="F104" s="207"/>
      <c r="H104" s="217" t="str">
        <f>CONCATENATE("Rozhodčí: ",IFERROR(VLOOKUP('sk 1-6, 7-12 - Ženy'!$AS$36,seznam!$A$2:$C$25,2),""))</f>
        <v>Rozhodčí: Svobodová Kristýna</v>
      </c>
      <c r="I104" s="206"/>
      <c r="J104" s="218"/>
      <c r="K104" s="205" t="s">
        <v>30</v>
      </c>
      <c r="L104" s="206"/>
      <c r="M104" s="207"/>
    </row>
    <row r="105" spans="1:13" ht="18" customHeight="1"/>
  </sheetData>
  <mergeCells count="150"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conditionalFormatting sqref="E2">
    <cfRule type="cellIs" dxfId="5" priority="6" operator="equal">
      <formula>"NEHRÁT"</formula>
    </cfRule>
  </conditionalFormatting>
  <conditionalFormatting sqref="E23">
    <cfRule type="cellIs" dxfId="4" priority="4" operator="equal">
      <formula>"NEHRÁT"</formula>
    </cfRule>
  </conditionalFormatting>
  <conditionalFormatting sqref="E65 L65 E72 L72 E79 L79">
    <cfRule type="cellIs" dxfId="3" priority="2" operator="equal">
      <formula>"NEHRÁT"</formula>
    </cfRule>
  </conditionalFormatting>
  <conditionalFormatting sqref="E86 L86 E93 L93 E100 L100">
    <cfRule type="cellIs" dxfId="2" priority="1" operator="equal">
      <formula>"NEHRÁT"</formula>
    </cfRule>
  </conditionalFormatting>
  <conditionalFormatting sqref="L2 E9 L9 E16 L16">
    <cfRule type="cellIs" dxfId="1" priority="5" operator="equal">
      <formula>"NEHRÁT"</formula>
    </cfRule>
  </conditionalFormatting>
  <conditionalFormatting sqref="L23 E30 L30 E37 L37 E44 L44 E51 L51 E58 L58">
    <cfRule type="cellIs" dxfId="0" priority="3" operator="equal">
      <formula>"NEHRÁT"</formula>
    </cfRule>
  </conditionalFormatting>
  <pageMargins left="0.19685039370078741" right="0.19685039370078741" top="0.39370078740157483" bottom="0.39370078740157483" header="0" footer="0"/>
  <pageSetup paperSize="9" scale="85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K42"/>
  <sheetViews>
    <sheetView workbookViewId="0">
      <selection activeCell="AJ12" sqref="AJ12"/>
    </sheetView>
  </sheetViews>
  <sheetFormatPr defaultRowHeight="12.5"/>
  <cols>
    <col min="1" max="1" width="3.453125" customWidth="1"/>
    <col min="2" max="2" width="2" customWidth="1"/>
    <col min="3" max="3" width="20.7265625" customWidth="1"/>
    <col min="4" max="18" width="2" customWidth="1"/>
    <col min="19" max="20" width="5.7265625" customWidth="1"/>
    <col min="21" max="22" width="2.54296875" customWidth="1"/>
    <col min="23" max="23" width="18.7265625" customWidth="1"/>
    <col min="24" max="24" width="2.7265625" customWidth="1"/>
    <col min="25" max="25" width="18.7265625" customWidth="1"/>
    <col min="26" max="33" width="2.7265625" customWidth="1"/>
    <col min="34" max="34" width="3.1796875" customWidth="1"/>
  </cols>
  <sheetData>
    <row r="1" spans="1:37" ht="25.5">
      <c r="A1" s="72"/>
      <c r="B1" s="219" t="s">
        <v>44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14"/>
      <c r="AI1" s="15"/>
      <c r="AJ1" s="15"/>
      <c r="AK1" s="15"/>
    </row>
    <row r="2" spans="1:37" ht="13.5" thickBot="1">
      <c r="A2" s="7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  <c r="V2" s="2"/>
      <c r="W2" s="4"/>
      <c r="X2" s="3"/>
      <c r="Y2" s="4"/>
      <c r="Z2" s="3"/>
      <c r="AA2" s="3"/>
      <c r="AB2" s="3"/>
      <c r="AC2" s="3"/>
      <c r="AD2" s="3"/>
      <c r="AE2" s="9"/>
      <c r="AF2" s="9"/>
      <c r="AG2" s="9"/>
      <c r="AH2" s="2"/>
    </row>
    <row r="3" spans="1:37" ht="13.5" thickBot="1">
      <c r="A3" s="73" t="s">
        <v>32</v>
      </c>
      <c r="B3" s="221" t="s">
        <v>2</v>
      </c>
      <c r="C3" s="222"/>
      <c r="D3" s="223">
        <v>1</v>
      </c>
      <c r="E3" s="224"/>
      <c r="F3" s="225"/>
      <c r="G3" s="226">
        <v>2</v>
      </c>
      <c r="H3" s="224"/>
      <c r="I3" s="225"/>
      <c r="J3" s="226">
        <v>3</v>
      </c>
      <c r="K3" s="224"/>
      <c r="L3" s="225"/>
      <c r="M3" s="226">
        <v>4</v>
      </c>
      <c r="N3" s="224"/>
      <c r="O3" s="227"/>
      <c r="P3" s="223" t="s">
        <v>3</v>
      </c>
      <c r="Q3" s="228"/>
      <c r="R3" s="229"/>
      <c r="S3" s="74" t="s">
        <v>4</v>
      </c>
      <c r="T3" s="75" t="s">
        <v>5</v>
      </c>
      <c r="U3" s="2"/>
      <c r="V3" s="2"/>
      <c r="W3" s="4"/>
      <c r="X3" s="3"/>
      <c r="Y3" s="4"/>
      <c r="Z3" s="3"/>
      <c r="AA3" s="3"/>
      <c r="AB3" s="3"/>
      <c r="AC3" s="3"/>
      <c r="AD3" s="3"/>
      <c r="AE3" s="9"/>
      <c r="AF3" s="9"/>
      <c r="AG3" s="9"/>
      <c r="AH3" s="2"/>
    </row>
    <row r="4" spans="1:37" ht="13">
      <c r="A4" s="237"/>
      <c r="B4" s="238">
        <v>1</v>
      </c>
      <c r="C4" s="76" t="str">
        <f>IF(A4&gt;0,IF(VLOOKUP(A4,seznam!$A$2:$C$128,3)&gt;0,VLOOKUP(A4,seznam!$A$2:$C$128,3),"------"),"------")</f>
        <v>------</v>
      </c>
      <c r="D4" s="239"/>
      <c r="E4" s="240"/>
      <c r="F4" s="241"/>
      <c r="G4" s="236">
        <f>AE7</f>
        <v>0</v>
      </c>
      <c r="H4" s="154" t="str">
        <f>AF7</f>
        <v>:</v>
      </c>
      <c r="I4" s="137">
        <f>AG7</f>
        <v>0</v>
      </c>
      <c r="J4" s="236">
        <f>AG9</f>
        <v>0</v>
      </c>
      <c r="K4" s="154" t="str">
        <f>AF9</f>
        <v>:</v>
      </c>
      <c r="L4" s="137">
        <f>AE9</f>
        <v>0</v>
      </c>
      <c r="M4" s="236">
        <f>AE4</f>
        <v>0</v>
      </c>
      <c r="N4" s="154" t="str">
        <f>AF4</f>
        <v>:</v>
      </c>
      <c r="O4" s="233">
        <f>AG4</f>
        <v>0</v>
      </c>
      <c r="P4" s="135">
        <f>G4+J4+M4</f>
        <v>0</v>
      </c>
      <c r="Q4" s="154" t="s">
        <v>6</v>
      </c>
      <c r="R4" s="137">
        <f>I4+L4+O4</f>
        <v>0</v>
      </c>
      <c r="S4" s="230">
        <f>IF(G4&gt;I4,2,IF(AND(G4&lt;I4,H4=":"),1,0))+IF(J4&gt;L4,2,IF(AND(J4&lt;L4,K4=":"),1,0))+IF(M4&gt;O4,2,IF(AND(M4&lt;O4,N4=":"),1,0))</f>
        <v>0</v>
      </c>
      <c r="T4" s="232" t="s">
        <v>33</v>
      </c>
      <c r="U4" s="2"/>
      <c r="V4" s="77">
        <v>1</v>
      </c>
      <c r="W4" s="78" t="str">
        <f>C5</f>
        <v>------</v>
      </c>
      <c r="X4" s="6" t="s">
        <v>8</v>
      </c>
      <c r="Y4" s="5" t="str">
        <f>C11</f>
        <v>------</v>
      </c>
      <c r="Z4" s="20"/>
      <c r="AA4" s="21"/>
      <c r="AB4" s="21"/>
      <c r="AC4" s="21"/>
      <c r="AD4" s="23"/>
      <c r="AE4" s="10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11" t="s">
        <v>6</v>
      </c>
      <c r="AG4" s="12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2"/>
      <c r="AJ4">
        <f>A4</f>
        <v>0</v>
      </c>
      <c r="AK4">
        <f>A10</f>
        <v>0</v>
      </c>
    </row>
    <row r="5" spans="1:37" ht="13">
      <c r="A5" s="234"/>
      <c r="B5" s="138"/>
      <c r="C5" s="79" t="str">
        <f>IF(A4&gt;0,IF(VLOOKUP(A4,seznam!$A$2:$C$128,2)&gt;0,VLOOKUP(A4,seznam!$A$2:$C$128,2),"------"),"------")</f>
        <v>------</v>
      </c>
      <c r="D5" s="143"/>
      <c r="E5" s="144"/>
      <c r="F5" s="145"/>
      <c r="G5" s="151"/>
      <c r="H5" s="148"/>
      <c r="I5" s="138"/>
      <c r="J5" s="151"/>
      <c r="K5" s="148"/>
      <c r="L5" s="138"/>
      <c r="M5" s="151"/>
      <c r="N5" s="148"/>
      <c r="O5" s="157"/>
      <c r="P5" s="136"/>
      <c r="Q5" s="148"/>
      <c r="R5" s="138"/>
      <c r="S5" s="231"/>
      <c r="T5" s="198"/>
      <c r="U5" s="2"/>
      <c r="V5" s="80">
        <v>2</v>
      </c>
      <c r="W5" s="81" t="str">
        <f>C7</f>
        <v>------</v>
      </c>
      <c r="X5" s="7" t="s">
        <v>8</v>
      </c>
      <c r="Y5" s="82" t="str">
        <f>C9</f>
        <v>------</v>
      </c>
      <c r="Z5" s="22"/>
      <c r="AA5" s="19"/>
      <c r="AB5" s="19"/>
      <c r="AC5" s="19"/>
      <c r="AD5" s="83"/>
      <c r="AE5" s="26">
        <f t="shared" si="0"/>
        <v>0</v>
      </c>
      <c r="AF5" s="13" t="s">
        <v>6</v>
      </c>
      <c r="AG5" s="27">
        <f t="shared" si="1"/>
        <v>0</v>
      </c>
      <c r="AH5" s="2"/>
      <c r="AJ5">
        <f>A6</f>
        <v>0</v>
      </c>
      <c r="AK5">
        <f>A8</f>
        <v>0</v>
      </c>
    </row>
    <row r="6" spans="1:37" ht="13">
      <c r="A6" s="234"/>
      <c r="B6" s="235">
        <v>2</v>
      </c>
      <c r="C6" s="29" t="str">
        <f>IF(A6&gt;0,IF(VLOOKUP(A6,seznam!$A$2:$C$128,3)&gt;0,VLOOKUP(A6,seznam!$A$2:$C$128,3),"------"),"------")</f>
        <v>------</v>
      </c>
      <c r="D6" s="149">
        <f>I4</f>
        <v>0</v>
      </c>
      <c r="E6" s="129" t="str">
        <f>H4</f>
        <v>:</v>
      </c>
      <c r="F6" s="147">
        <f>G4</f>
        <v>0</v>
      </c>
      <c r="G6" s="175"/>
      <c r="H6" s="176"/>
      <c r="I6" s="183"/>
      <c r="J6" s="150">
        <f>AE5</f>
        <v>0</v>
      </c>
      <c r="K6" s="129" t="str">
        <f>AF5</f>
        <v>:</v>
      </c>
      <c r="L6" s="147">
        <f>AG5</f>
        <v>0</v>
      </c>
      <c r="M6" s="150">
        <f>AE8</f>
        <v>0</v>
      </c>
      <c r="N6" s="129" t="str">
        <f>AF8</f>
        <v>:</v>
      </c>
      <c r="O6" s="156">
        <f>AG8</f>
        <v>0</v>
      </c>
      <c r="P6" s="149">
        <f>D6+J6+M6</f>
        <v>0</v>
      </c>
      <c r="Q6" s="129" t="s">
        <v>6</v>
      </c>
      <c r="R6" s="147">
        <f>F6+L6+O6</f>
        <v>0</v>
      </c>
      <c r="S6" s="244">
        <f>IF(D6&gt;F6,2,IF(AND(D6&lt;F6,E6=":"),1,0))+IF(J6&gt;L6,2,IF(AND(J6&lt;L6,K6=":"),1,0))+IF(M6&gt;O6,2,IF(AND(M6&lt;O6,N6=":"),1,0))</f>
        <v>0</v>
      </c>
      <c r="T6" s="199" t="s">
        <v>34</v>
      </c>
      <c r="U6" s="2"/>
      <c r="V6" s="80">
        <v>3</v>
      </c>
      <c r="W6" s="81" t="str">
        <f>C11</f>
        <v>------</v>
      </c>
      <c r="X6" s="84" t="s">
        <v>8</v>
      </c>
      <c r="Y6" s="82" t="str">
        <f>C9</f>
        <v>------</v>
      </c>
      <c r="Z6" s="22"/>
      <c r="AA6" s="19"/>
      <c r="AB6" s="19"/>
      <c r="AC6" s="19"/>
      <c r="AD6" s="83"/>
      <c r="AE6" s="26">
        <f t="shared" si="0"/>
        <v>0</v>
      </c>
      <c r="AF6" s="13" t="s">
        <v>6</v>
      </c>
      <c r="AG6" s="27">
        <f t="shared" si="1"/>
        <v>0</v>
      </c>
      <c r="AH6" s="2"/>
      <c r="AJ6">
        <f>A10</f>
        <v>0</v>
      </c>
      <c r="AK6">
        <f>A8</f>
        <v>0</v>
      </c>
    </row>
    <row r="7" spans="1:37" ht="13">
      <c r="A7" s="234"/>
      <c r="B7" s="138"/>
      <c r="C7" s="30" t="str">
        <f>IF(A6&gt;0,IF(VLOOKUP(A6,seznam!$A$2:$C$128,2)&gt;0,VLOOKUP(A6,seznam!$A$2:$C$128,2),"------"),"------")</f>
        <v>------</v>
      </c>
      <c r="D7" s="136"/>
      <c r="E7" s="148"/>
      <c r="F7" s="138"/>
      <c r="G7" s="184"/>
      <c r="H7" s="144"/>
      <c r="I7" s="145"/>
      <c r="J7" s="151"/>
      <c r="K7" s="148"/>
      <c r="L7" s="138"/>
      <c r="M7" s="151"/>
      <c r="N7" s="148"/>
      <c r="O7" s="157"/>
      <c r="P7" s="242"/>
      <c r="Q7" s="130"/>
      <c r="R7" s="243"/>
      <c r="S7" s="231"/>
      <c r="T7" s="198"/>
      <c r="U7" s="2"/>
      <c r="V7" s="80">
        <v>4</v>
      </c>
      <c r="W7" s="81" t="str">
        <f>C5</f>
        <v>------</v>
      </c>
      <c r="X7" s="7" t="s">
        <v>8</v>
      </c>
      <c r="Y7" s="82" t="str">
        <f>C7</f>
        <v>------</v>
      </c>
      <c r="Z7" s="22"/>
      <c r="AA7" s="19"/>
      <c r="AB7" s="19"/>
      <c r="AC7" s="19"/>
      <c r="AD7" s="83"/>
      <c r="AE7" s="26">
        <f t="shared" si="0"/>
        <v>0</v>
      </c>
      <c r="AF7" s="13" t="s">
        <v>6</v>
      </c>
      <c r="AG7" s="27">
        <f t="shared" si="1"/>
        <v>0</v>
      </c>
      <c r="AH7" s="2"/>
      <c r="AJ7">
        <f>A4</f>
        <v>0</v>
      </c>
      <c r="AK7">
        <f>A6</f>
        <v>0</v>
      </c>
    </row>
    <row r="8" spans="1:37" ht="13">
      <c r="A8" s="234"/>
      <c r="B8" s="235">
        <v>3</v>
      </c>
      <c r="C8" s="29" t="str">
        <f>IF(A8&gt;0,IF(VLOOKUP(A8,seznam!$A$2:$C$128,3)&gt;0,VLOOKUP(A8,seznam!$A$2:$C$128,3),"------"),"------")</f>
        <v>------</v>
      </c>
      <c r="D8" s="149">
        <f>L4</f>
        <v>0</v>
      </c>
      <c r="E8" s="129" t="str">
        <f>K4</f>
        <v>:</v>
      </c>
      <c r="F8" s="147">
        <f>J4</f>
        <v>0</v>
      </c>
      <c r="G8" s="150">
        <f>L6</f>
        <v>0</v>
      </c>
      <c r="H8" s="129" t="str">
        <f>K6</f>
        <v>:</v>
      </c>
      <c r="I8" s="147">
        <f>J6</f>
        <v>0</v>
      </c>
      <c r="J8" s="175"/>
      <c r="K8" s="176"/>
      <c r="L8" s="183"/>
      <c r="M8" s="150">
        <f>AG6</f>
        <v>0</v>
      </c>
      <c r="N8" s="129" t="str">
        <f>AF6</f>
        <v>:</v>
      </c>
      <c r="O8" s="156">
        <f>AE6</f>
        <v>0</v>
      </c>
      <c r="P8" s="149">
        <f>D8+G8+M8</f>
        <v>0</v>
      </c>
      <c r="Q8" s="129" t="s">
        <v>6</v>
      </c>
      <c r="R8" s="147">
        <f>F8+I8+O8</f>
        <v>0</v>
      </c>
      <c r="S8" s="244">
        <f>IF(D8&gt;F8,2,IF(AND(D8&lt;F8,E8=":"),1,0))+IF(G8&gt;I8,2,IF(AND(G8&lt;I8,H8=":"),1,0))+IF(M8&gt;O8,2,IF(AND(M8&lt;O8,N8=":"),1,0))</f>
        <v>0</v>
      </c>
      <c r="T8" s="199" t="s">
        <v>35</v>
      </c>
      <c r="U8" s="2"/>
      <c r="V8" s="80">
        <v>5</v>
      </c>
      <c r="W8" s="81" t="str">
        <f>C7</f>
        <v>------</v>
      </c>
      <c r="X8" s="7" t="s">
        <v>8</v>
      </c>
      <c r="Y8" s="82" t="str">
        <f>C11</f>
        <v>------</v>
      </c>
      <c r="Z8" s="22"/>
      <c r="AA8" s="19"/>
      <c r="AB8" s="19"/>
      <c r="AC8" s="19"/>
      <c r="AD8" s="83"/>
      <c r="AE8" s="26">
        <f t="shared" si="0"/>
        <v>0</v>
      </c>
      <c r="AF8" s="13" t="s">
        <v>6</v>
      </c>
      <c r="AG8" s="27">
        <f t="shared" si="1"/>
        <v>0</v>
      </c>
      <c r="AH8" s="2"/>
      <c r="AJ8">
        <f>A6</f>
        <v>0</v>
      </c>
      <c r="AK8">
        <f>A10</f>
        <v>0</v>
      </c>
    </row>
    <row r="9" spans="1:37" ht="13.5" thickBot="1">
      <c r="A9" s="234"/>
      <c r="B9" s="138"/>
      <c r="C9" s="30" t="str">
        <f>IF(A8&gt;0,IF(VLOOKUP(A8,seznam!$A$2:$C$128,2)&gt;0,VLOOKUP(A8,seznam!$A$2:$C$128,2),"------"),"------")</f>
        <v>------</v>
      </c>
      <c r="D9" s="136"/>
      <c r="E9" s="148"/>
      <c r="F9" s="138"/>
      <c r="G9" s="151"/>
      <c r="H9" s="148"/>
      <c r="I9" s="138"/>
      <c r="J9" s="184"/>
      <c r="K9" s="144"/>
      <c r="L9" s="145"/>
      <c r="M9" s="151"/>
      <c r="N9" s="148"/>
      <c r="O9" s="157"/>
      <c r="P9" s="136"/>
      <c r="Q9" s="148"/>
      <c r="R9" s="138"/>
      <c r="S9" s="231"/>
      <c r="T9" s="198"/>
      <c r="U9" s="2"/>
      <c r="V9" s="85">
        <v>6</v>
      </c>
      <c r="W9" s="86" t="str">
        <f>C9</f>
        <v>------</v>
      </c>
      <c r="X9" s="87" t="s">
        <v>8</v>
      </c>
      <c r="Y9" s="60" t="str">
        <f>C5</f>
        <v>------</v>
      </c>
      <c r="Z9" s="43"/>
      <c r="AA9" s="44"/>
      <c r="AB9" s="44"/>
      <c r="AC9" s="44"/>
      <c r="AD9" s="61"/>
      <c r="AE9" s="45">
        <f t="shared" si="0"/>
        <v>0</v>
      </c>
      <c r="AF9" s="46" t="s">
        <v>6</v>
      </c>
      <c r="AG9" s="47">
        <f t="shared" si="1"/>
        <v>0</v>
      </c>
      <c r="AH9" s="2"/>
      <c r="AJ9">
        <f>A8</f>
        <v>0</v>
      </c>
      <c r="AK9">
        <f>A4</f>
        <v>0</v>
      </c>
    </row>
    <row r="10" spans="1:37" ht="13">
      <c r="A10" s="234"/>
      <c r="B10" s="235">
        <v>4</v>
      </c>
      <c r="C10" s="29" t="str">
        <f>IF(A10&gt;0,IF(VLOOKUP(A10,seznam!$A$2:$C$128,3)&gt;0,VLOOKUP(A10,seznam!$A$2:$C$128,3),"------"),"------")</f>
        <v>------</v>
      </c>
      <c r="D10" s="149">
        <f>O4</f>
        <v>0</v>
      </c>
      <c r="E10" s="129" t="str">
        <f>N4</f>
        <v>:</v>
      </c>
      <c r="F10" s="147">
        <f>M4</f>
        <v>0</v>
      </c>
      <c r="G10" s="150">
        <f>O6</f>
        <v>0</v>
      </c>
      <c r="H10" s="129" t="str">
        <f>N6</f>
        <v>:</v>
      </c>
      <c r="I10" s="147">
        <f>M6</f>
        <v>0</v>
      </c>
      <c r="J10" s="150">
        <f>O8</f>
        <v>0</v>
      </c>
      <c r="K10" s="129" t="str">
        <f>N8</f>
        <v>:</v>
      </c>
      <c r="L10" s="147">
        <f>M8</f>
        <v>0</v>
      </c>
      <c r="M10" s="175"/>
      <c r="N10" s="176"/>
      <c r="O10" s="177"/>
      <c r="P10" s="149">
        <f>D10+G10+J10</f>
        <v>0</v>
      </c>
      <c r="Q10" s="129" t="s">
        <v>6</v>
      </c>
      <c r="R10" s="147">
        <f>F10+I10+L10</f>
        <v>0</v>
      </c>
      <c r="S10" s="244">
        <f>IF(D10&gt;F10,2,IF(AND(D10&lt;F10,E10=":"),1,0))+IF(G10&gt;I10,2,IF(AND(G10&lt;I10,H10=":"),1,0))+IF(J10&gt;L10,2,IF(AND(J10&lt;L10,K10=":"),1,0))</f>
        <v>0</v>
      </c>
      <c r="T10" s="199"/>
      <c r="U10" s="2"/>
      <c r="V10" s="2"/>
      <c r="W10" s="4"/>
      <c r="X10" s="3"/>
      <c r="Y10" s="4"/>
      <c r="Z10" s="3"/>
      <c r="AA10" s="3"/>
      <c r="AB10" s="3"/>
      <c r="AC10" s="3"/>
      <c r="AD10" s="3"/>
      <c r="AE10" s="9"/>
      <c r="AF10" s="9"/>
      <c r="AG10" s="9"/>
      <c r="AH10" s="2"/>
    </row>
    <row r="11" spans="1:37" ht="13.5" thickBot="1">
      <c r="A11" s="245"/>
      <c r="B11" s="163"/>
      <c r="C11" s="18" t="str">
        <f>IF(A10&gt;0,IF(VLOOKUP(A10,seznam!$A$2:$C$128,2)&gt;0,VLOOKUP(A10,seznam!$A$2:$C$128,2),"------"),"------")</f>
        <v>------</v>
      </c>
      <c r="D11" s="161"/>
      <c r="E11" s="181"/>
      <c r="F11" s="163"/>
      <c r="G11" s="158"/>
      <c r="H11" s="181"/>
      <c r="I11" s="163"/>
      <c r="J11" s="158"/>
      <c r="K11" s="181"/>
      <c r="L11" s="163"/>
      <c r="M11" s="178"/>
      <c r="N11" s="179"/>
      <c r="O11" s="180"/>
      <c r="P11" s="161"/>
      <c r="Q11" s="181"/>
      <c r="R11" s="163"/>
      <c r="S11" s="246"/>
      <c r="T11" s="247"/>
      <c r="U11" s="2"/>
      <c r="V11" s="2"/>
      <c r="W11" s="4"/>
      <c r="X11" s="3"/>
      <c r="Y11" s="4"/>
      <c r="Z11" s="3"/>
      <c r="AA11" s="3"/>
      <c r="AB11" s="3"/>
      <c r="AC11" s="3"/>
      <c r="AD11" s="3"/>
      <c r="AE11" s="9"/>
      <c r="AF11" s="9"/>
      <c r="AG11" s="9"/>
      <c r="AH11" s="2"/>
    </row>
    <row r="12" spans="1:37" ht="13.5" thickBot="1">
      <c r="A12" s="7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2"/>
      <c r="V12" s="2"/>
      <c r="W12" s="4"/>
      <c r="X12" s="3"/>
      <c r="Y12" s="4"/>
      <c r="Z12" s="3"/>
      <c r="AA12" s="3"/>
      <c r="AB12" s="3"/>
      <c r="AC12" s="3"/>
      <c r="AD12" s="3"/>
      <c r="AE12" s="9"/>
      <c r="AF12" s="9"/>
      <c r="AG12" s="9"/>
      <c r="AH12" s="2"/>
    </row>
    <row r="13" spans="1:37" ht="13.5" thickBot="1">
      <c r="A13" s="73"/>
      <c r="B13" s="248" t="s">
        <v>9</v>
      </c>
      <c r="C13" s="249"/>
      <c r="D13" s="223">
        <v>1</v>
      </c>
      <c r="E13" s="224"/>
      <c r="F13" s="225"/>
      <c r="G13" s="226">
        <v>2</v>
      </c>
      <c r="H13" s="224"/>
      <c r="I13" s="225"/>
      <c r="J13" s="226">
        <v>3</v>
      </c>
      <c r="K13" s="224"/>
      <c r="L13" s="225"/>
      <c r="M13" s="226">
        <v>4</v>
      </c>
      <c r="N13" s="224"/>
      <c r="O13" s="227"/>
      <c r="P13" s="223" t="s">
        <v>3</v>
      </c>
      <c r="Q13" s="228"/>
      <c r="R13" s="229"/>
      <c r="S13" s="74" t="s">
        <v>4</v>
      </c>
      <c r="T13" s="75" t="s">
        <v>5</v>
      </c>
      <c r="U13" s="2"/>
      <c r="V13" s="2"/>
      <c r="W13" s="4"/>
      <c r="X13" s="3"/>
      <c r="Y13" s="4"/>
      <c r="Z13" s="3"/>
      <c r="AA13" s="3"/>
      <c r="AB13" s="3"/>
      <c r="AC13" s="3"/>
      <c r="AD13" s="3"/>
      <c r="AE13" s="9"/>
      <c r="AF13" s="9"/>
      <c r="AG13" s="9"/>
      <c r="AH13" s="2"/>
    </row>
    <row r="14" spans="1:37" ht="13">
      <c r="A14" s="237"/>
      <c r="B14" s="250">
        <v>1</v>
      </c>
      <c r="C14" s="76" t="str">
        <f>IF(A14&gt;0,IF(VLOOKUP(A14,seznam!$A$2:$C$128,3)&gt;0,VLOOKUP(A14,seznam!$A$2:$C$128,3),"------"),"------")</f>
        <v>------</v>
      </c>
      <c r="D14" s="251"/>
      <c r="E14" s="240"/>
      <c r="F14" s="241"/>
      <c r="G14" s="236">
        <f>AE17</f>
        <v>0</v>
      </c>
      <c r="H14" s="154" t="str">
        <f>AF17</f>
        <v>:</v>
      </c>
      <c r="I14" s="137">
        <f>AG17</f>
        <v>0</v>
      </c>
      <c r="J14" s="236">
        <f>AG19</f>
        <v>0</v>
      </c>
      <c r="K14" s="154" t="str">
        <f>AF19</f>
        <v>:</v>
      </c>
      <c r="L14" s="137">
        <f>AE19</f>
        <v>0</v>
      </c>
      <c r="M14" s="236">
        <f>AE14</f>
        <v>0</v>
      </c>
      <c r="N14" s="154" t="str">
        <f>AF14</f>
        <v>:</v>
      </c>
      <c r="O14" s="233">
        <f>AG14</f>
        <v>0</v>
      </c>
      <c r="P14" s="135">
        <f>G14+J14+M14</f>
        <v>0</v>
      </c>
      <c r="Q14" s="154" t="s">
        <v>6</v>
      </c>
      <c r="R14" s="137">
        <f>I14+L14+O14</f>
        <v>0</v>
      </c>
      <c r="S14" s="230">
        <f>IF(G14&gt;I14,2,IF(AND(G14&lt;I14,H14=":"),1,0))+IF(J14&gt;L14,2,IF(AND(J14&lt;L14,K14=":"),1,0))+IF(M14&gt;O14,2,IF(AND(M14&lt;O14,N14=":"),1,0))</f>
        <v>0</v>
      </c>
      <c r="T14" s="232" t="s">
        <v>35</v>
      </c>
      <c r="U14" s="2"/>
      <c r="V14" s="77">
        <v>1</v>
      </c>
      <c r="W14" s="78" t="str">
        <f>C15</f>
        <v>------</v>
      </c>
      <c r="X14" s="6" t="s">
        <v>8</v>
      </c>
      <c r="Y14" s="5" t="str">
        <f>C21</f>
        <v>------</v>
      </c>
      <c r="Z14" s="20"/>
      <c r="AA14" s="21"/>
      <c r="AB14" s="21"/>
      <c r="AC14" s="21"/>
      <c r="AD14" s="23"/>
      <c r="AE14" s="10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2"/>
      <c r="AJ14">
        <f>A14</f>
        <v>0</v>
      </c>
      <c r="AK14">
        <f>A20</f>
        <v>0</v>
      </c>
    </row>
    <row r="15" spans="1:37" ht="13">
      <c r="A15" s="234"/>
      <c r="B15" s="134"/>
      <c r="C15" s="79" t="str">
        <f>IF(A14&gt;0,IF(VLOOKUP(A14,seznam!$A$2:$C$128,2)&gt;0,VLOOKUP(A14,seznam!$A$2:$C$128,2),"------"),"------")</f>
        <v>------</v>
      </c>
      <c r="D15" s="144"/>
      <c r="E15" s="144"/>
      <c r="F15" s="145"/>
      <c r="G15" s="151"/>
      <c r="H15" s="148"/>
      <c r="I15" s="138"/>
      <c r="J15" s="151"/>
      <c r="K15" s="148"/>
      <c r="L15" s="138"/>
      <c r="M15" s="151"/>
      <c r="N15" s="148"/>
      <c r="O15" s="157"/>
      <c r="P15" s="136"/>
      <c r="Q15" s="148"/>
      <c r="R15" s="138"/>
      <c r="S15" s="231"/>
      <c r="T15" s="200"/>
      <c r="U15" s="2"/>
      <c r="V15" s="80">
        <v>2</v>
      </c>
      <c r="W15" s="81" t="str">
        <f>C17</f>
        <v>------</v>
      </c>
      <c r="X15" s="7" t="s">
        <v>8</v>
      </c>
      <c r="Y15" s="82" t="str">
        <f>C19</f>
        <v>------</v>
      </c>
      <c r="Z15" s="22"/>
      <c r="AA15" s="19"/>
      <c r="AB15" s="19"/>
      <c r="AC15" s="19"/>
      <c r="AD15" s="83"/>
      <c r="AE15" s="26">
        <f t="shared" si="2"/>
        <v>0</v>
      </c>
      <c r="AF15" s="13" t="s">
        <v>6</v>
      </c>
      <c r="AG15" s="27">
        <f t="shared" si="3"/>
        <v>0</v>
      </c>
      <c r="AH15" s="2"/>
      <c r="AJ15">
        <f>A16</f>
        <v>0</v>
      </c>
      <c r="AK15">
        <f>A18</f>
        <v>0</v>
      </c>
    </row>
    <row r="16" spans="1:37" ht="13">
      <c r="A16" s="234"/>
      <c r="B16" s="139">
        <v>2</v>
      </c>
      <c r="C16" s="29" t="str">
        <f>IF(A16&gt;0,IF(VLOOKUP(A16,seznam!$A$2:$C$128,3)&gt;0,VLOOKUP(A16,seznam!$A$2:$C$128,3),"------"),"------")</f>
        <v>------</v>
      </c>
      <c r="D16" s="129">
        <f>I14</f>
        <v>0</v>
      </c>
      <c r="E16" s="129" t="str">
        <f>H14</f>
        <v>:</v>
      </c>
      <c r="F16" s="147">
        <f>G14</f>
        <v>0</v>
      </c>
      <c r="G16" s="175"/>
      <c r="H16" s="176"/>
      <c r="I16" s="183"/>
      <c r="J16" s="150">
        <f>AE15</f>
        <v>0</v>
      </c>
      <c r="K16" s="129" t="str">
        <f>AF15</f>
        <v>:</v>
      </c>
      <c r="L16" s="147">
        <f>AG15</f>
        <v>0</v>
      </c>
      <c r="M16" s="150">
        <f>AE18</f>
        <v>0</v>
      </c>
      <c r="N16" s="129" t="str">
        <f>AF18</f>
        <v>:</v>
      </c>
      <c r="O16" s="156">
        <f>AG18</f>
        <v>0</v>
      </c>
      <c r="P16" s="149">
        <f>D16+J16+M16</f>
        <v>0</v>
      </c>
      <c r="Q16" s="129" t="s">
        <v>6</v>
      </c>
      <c r="R16" s="147">
        <f>F16+L16+O16</f>
        <v>0</v>
      </c>
      <c r="S16" s="244">
        <f>IF(D16&gt;F16,2,IF(AND(D16&lt;F16,E16=":"),1,0))+IF(J16&gt;L16,2,IF(AND(J16&lt;L16,K16=":"),1,0))+IF(M16&gt;O16,2,IF(AND(M16&lt;O16,N16=":"),1,0))</f>
        <v>0</v>
      </c>
      <c r="T16" s="199" t="s">
        <v>33</v>
      </c>
      <c r="U16" s="2"/>
      <c r="V16" s="80">
        <v>3</v>
      </c>
      <c r="W16" s="81" t="str">
        <f>C21</f>
        <v>------</v>
      </c>
      <c r="X16" s="84" t="s">
        <v>8</v>
      </c>
      <c r="Y16" s="82" t="str">
        <f>C19</f>
        <v>------</v>
      </c>
      <c r="Z16" s="22"/>
      <c r="AA16" s="19"/>
      <c r="AB16" s="19"/>
      <c r="AC16" s="19"/>
      <c r="AD16" s="83"/>
      <c r="AE16" s="26">
        <f t="shared" si="2"/>
        <v>0</v>
      </c>
      <c r="AF16" s="13" t="s">
        <v>6</v>
      </c>
      <c r="AG16" s="27">
        <f t="shared" si="3"/>
        <v>0</v>
      </c>
      <c r="AH16" s="2"/>
      <c r="AJ16">
        <f>A20</f>
        <v>0</v>
      </c>
      <c r="AK16">
        <f>A18</f>
        <v>0</v>
      </c>
    </row>
    <row r="17" spans="1:37" ht="13">
      <c r="A17" s="234"/>
      <c r="B17" s="134"/>
      <c r="C17" s="30" t="str">
        <f>IF(A16&gt;0,IF(VLOOKUP(A16,seznam!$A$2:$C$128,2)&gt;0,VLOOKUP(A16,seznam!$A$2:$C$128,2),"------"),"------")</f>
        <v>------</v>
      </c>
      <c r="D17" s="148"/>
      <c r="E17" s="148"/>
      <c r="F17" s="138"/>
      <c r="G17" s="184"/>
      <c r="H17" s="144"/>
      <c r="I17" s="145"/>
      <c r="J17" s="151"/>
      <c r="K17" s="148"/>
      <c r="L17" s="138"/>
      <c r="M17" s="151"/>
      <c r="N17" s="148"/>
      <c r="O17" s="157"/>
      <c r="P17" s="242"/>
      <c r="Q17" s="130"/>
      <c r="R17" s="243"/>
      <c r="S17" s="231"/>
      <c r="T17" s="200"/>
      <c r="U17" s="2"/>
      <c r="V17" s="80">
        <v>4</v>
      </c>
      <c r="W17" s="81" t="str">
        <f>C15</f>
        <v>------</v>
      </c>
      <c r="X17" s="7" t="s">
        <v>8</v>
      </c>
      <c r="Y17" s="82" t="str">
        <f>C17</f>
        <v>------</v>
      </c>
      <c r="Z17" s="22"/>
      <c r="AA17" s="19"/>
      <c r="AB17" s="19"/>
      <c r="AC17" s="19"/>
      <c r="AD17" s="83"/>
      <c r="AE17" s="26">
        <f t="shared" si="2"/>
        <v>0</v>
      </c>
      <c r="AF17" s="13" t="s">
        <v>6</v>
      </c>
      <c r="AG17" s="27">
        <f t="shared" si="3"/>
        <v>0</v>
      </c>
      <c r="AH17" s="2"/>
      <c r="AJ17">
        <f>A14</f>
        <v>0</v>
      </c>
      <c r="AK17">
        <f>A16</f>
        <v>0</v>
      </c>
    </row>
    <row r="18" spans="1:37" ht="13">
      <c r="A18" s="234"/>
      <c r="B18" s="139">
        <v>3</v>
      </c>
      <c r="C18" s="29" t="str">
        <f>IF(A18&gt;0,IF(VLOOKUP(A18,seznam!$A$2:$C$128,3)&gt;0,VLOOKUP(A18,seznam!$A$2:$C$128,3),"------"),"------")</f>
        <v>------</v>
      </c>
      <c r="D18" s="129">
        <f>L14</f>
        <v>0</v>
      </c>
      <c r="E18" s="129" t="str">
        <f>K14</f>
        <v>:</v>
      </c>
      <c r="F18" s="147">
        <f>J14</f>
        <v>0</v>
      </c>
      <c r="G18" s="150">
        <f>L16</f>
        <v>0</v>
      </c>
      <c r="H18" s="129" t="str">
        <f>K16</f>
        <v>:</v>
      </c>
      <c r="I18" s="147">
        <f>J16</f>
        <v>0</v>
      </c>
      <c r="J18" s="175"/>
      <c r="K18" s="176"/>
      <c r="L18" s="183"/>
      <c r="M18" s="150">
        <f>AG16</f>
        <v>0</v>
      </c>
      <c r="N18" s="129" t="str">
        <f>AF16</f>
        <v>:</v>
      </c>
      <c r="O18" s="156">
        <f>AE16</f>
        <v>0</v>
      </c>
      <c r="P18" s="149">
        <f>D18+G18+M18</f>
        <v>0</v>
      </c>
      <c r="Q18" s="129" t="s">
        <v>6</v>
      </c>
      <c r="R18" s="147">
        <f>F18+I18+O18</f>
        <v>0</v>
      </c>
      <c r="S18" s="244">
        <f>IF(D18&gt;F18,2,IF(AND(D18&lt;F18,E18=":"),1,0))+IF(G18&gt;I18,2,IF(AND(G18&lt;I18,H18=":"),1,0))+IF(M18&gt;O18,2,IF(AND(M18&lt;O18,N18=":"),1,0))</f>
        <v>0</v>
      </c>
      <c r="T18" s="199" t="s">
        <v>34</v>
      </c>
      <c r="U18" s="2"/>
      <c r="V18" s="80">
        <v>5</v>
      </c>
      <c r="W18" s="81" t="str">
        <f>C17</f>
        <v>------</v>
      </c>
      <c r="X18" s="7" t="s">
        <v>8</v>
      </c>
      <c r="Y18" s="82" t="str">
        <f>C21</f>
        <v>------</v>
      </c>
      <c r="Z18" s="22"/>
      <c r="AA18" s="19"/>
      <c r="AB18" s="19"/>
      <c r="AC18" s="19"/>
      <c r="AD18" s="83"/>
      <c r="AE18" s="26">
        <f t="shared" si="2"/>
        <v>0</v>
      </c>
      <c r="AF18" s="13" t="s">
        <v>6</v>
      </c>
      <c r="AG18" s="27">
        <f t="shared" si="3"/>
        <v>0</v>
      </c>
      <c r="AH18" s="2"/>
      <c r="AJ18">
        <f>A16</f>
        <v>0</v>
      </c>
      <c r="AK18">
        <f>A20</f>
        <v>0</v>
      </c>
    </row>
    <row r="19" spans="1:37" ht="13.5" thickBot="1">
      <c r="A19" s="234"/>
      <c r="B19" s="134"/>
      <c r="C19" s="30" t="str">
        <f>IF(A18&gt;0,IF(VLOOKUP(A18,seznam!$A$2:$C$128,2)&gt;0,VLOOKUP(A18,seznam!$A$2:$C$128,2),"------"),"------")</f>
        <v>------</v>
      </c>
      <c r="D19" s="148"/>
      <c r="E19" s="148"/>
      <c r="F19" s="138"/>
      <c r="G19" s="151"/>
      <c r="H19" s="148"/>
      <c r="I19" s="138"/>
      <c r="J19" s="184"/>
      <c r="K19" s="144"/>
      <c r="L19" s="145"/>
      <c r="M19" s="151"/>
      <c r="N19" s="148"/>
      <c r="O19" s="157"/>
      <c r="P19" s="136"/>
      <c r="Q19" s="148"/>
      <c r="R19" s="138"/>
      <c r="S19" s="231"/>
      <c r="T19" s="200"/>
      <c r="U19" s="2"/>
      <c r="V19" s="85">
        <v>6</v>
      </c>
      <c r="W19" s="86" t="str">
        <f>C19</f>
        <v>------</v>
      </c>
      <c r="X19" s="87" t="s">
        <v>8</v>
      </c>
      <c r="Y19" s="60" t="str">
        <f>C15</f>
        <v>------</v>
      </c>
      <c r="Z19" s="43"/>
      <c r="AA19" s="44"/>
      <c r="AB19" s="44"/>
      <c r="AC19" s="44"/>
      <c r="AD19" s="61"/>
      <c r="AE19" s="45">
        <f t="shared" si="2"/>
        <v>0</v>
      </c>
      <c r="AF19" s="46" t="s">
        <v>6</v>
      </c>
      <c r="AG19" s="47">
        <f t="shared" si="3"/>
        <v>0</v>
      </c>
      <c r="AH19" s="2"/>
      <c r="AJ19">
        <f>A18</f>
        <v>0</v>
      </c>
      <c r="AK19">
        <f>A14</f>
        <v>0</v>
      </c>
    </row>
    <row r="20" spans="1:37" ht="13">
      <c r="A20" s="234"/>
      <c r="B20" s="139">
        <v>4</v>
      </c>
      <c r="C20" s="29" t="str">
        <f>IF(A20&gt;0,IF(VLOOKUP(A20,seznam!$A$2:$C$128,3)&gt;0,VLOOKUP(A20,seznam!$A$2:$C$128,3),"------"),"------")</f>
        <v>------</v>
      </c>
      <c r="D20" s="129">
        <f>O14</f>
        <v>0</v>
      </c>
      <c r="E20" s="129" t="str">
        <f>N14</f>
        <v>:</v>
      </c>
      <c r="F20" s="147">
        <f>M14</f>
        <v>0</v>
      </c>
      <c r="G20" s="150">
        <f>O16</f>
        <v>0</v>
      </c>
      <c r="H20" s="129" t="str">
        <f>N16</f>
        <v>:</v>
      </c>
      <c r="I20" s="147">
        <f>M16</f>
        <v>0</v>
      </c>
      <c r="J20" s="150">
        <f>O18</f>
        <v>0</v>
      </c>
      <c r="K20" s="129" t="str">
        <f>N18</f>
        <v>:</v>
      </c>
      <c r="L20" s="147">
        <f>M18</f>
        <v>0</v>
      </c>
      <c r="M20" s="175"/>
      <c r="N20" s="176"/>
      <c r="O20" s="177"/>
      <c r="P20" s="149">
        <f>D20+G20+J20</f>
        <v>0</v>
      </c>
      <c r="Q20" s="129" t="s">
        <v>6</v>
      </c>
      <c r="R20" s="147">
        <f>F20+I20+L20</f>
        <v>0</v>
      </c>
      <c r="S20" s="244">
        <f>IF(D20&gt;F20,2,IF(AND(D20&lt;F20,E20=":"),1,0))+IF(G20&gt;I20,2,IF(AND(G20&lt;I20,H20=":"),1,0))+IF(J20&gt;L20,2,IF(AND(J20&lt;L20,K20=":"),1,0))</f>
        <v>0</v>
      </c>
      <c r="T20" s="199" t="s">
        <v>36</v>
      </c>
      <c r="U20" s="2"/>
      <c r="V20" s="2"/>
      <c r="W20" s="4"/>
      <c r="X20" s="3"/>
      <c r="Y20" s="4"/>
      <c r="Z20" s="3"/>
      <c r="AA20" s="3"/>
      <c r="AB20" s="3"/>
      <c r="AC20" s="3"/>
      <c r="AD20" s="3"/>
      <c r="AE20" s="9"/>
      <c r="AF20" s="9"/>
      <c r="AG20" s="9"/>
      <c r="AH20" s="2"/>
    </row>
    <row r="21" spans="1:37" ht="13.5" thickBot="1">
      <c r="A21" s="245"/>
      <c r="B21" s="174"/>
      <c r="C21" s="18" t="str">
        <f>IF(A20&gt;0,IF(VLOOKUP(A20,seznam!$A$2:$C$128,2)&gt;0,VLOOKUP(A20,seznam!$A$2:$C$128,2),"------"),"------")</f>
        <v>------</v>
      </c>
      <c r="D21" s="181"/>
      <c r="E21" s="181"/>
      <c r="F21" s="163"/>
      <c r="G21" s="158"/>
      <c r="H21" s="181"/>
      <c r="I21" s="163"/>
      <c r="J21" s="158"/>
      <c r="K21" s="181"/>
      <c r="L21" s="163"/>
      <c r="M21" s="178"/>
      <c r="N21" s="179"/>
      <c r="O21" s="180"/>
      <c r="P21" s="161"/>
      <c r="Q21" s="181"/>
      <c r="R21" s="163"/>
      <c r="S21" s="246"/>
      <c r="T21" s="201"/>
      <c r="U21" s="2"/>
      <c r="V21" s="2"/>
      <c r="W21" s="4"/>
      <c r="X21" s="3"/>
      <c r="Y21" s="4"/>
      <c r="Z21" s="3"/>
      <c r="AA21" s="3"/>
      <c r="AB21" s="3"/>
      <c r="AC21" s="3"/>
      <c r="AD21" s="3"/>
      <c r="AE21" s="9"/>
      <c r="AF21" s="9"/>
      <c r="AG21" s="9"/>
      <c r="AH21" s="2"/>
    </row>
    <row r="22" spans="1:37" ht="13.5" thickBot="1">
      <c r="A22" s="7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"/>
      <c r="U22" s="2"/>
      <c r="V22" s="2"/>
      <c r="W22" s="4"/>
      <c r="X22" s="3"/>
      <c r="Y22" s="4"/>
      <c r="Z22" s="3"/>
      <c r="AA22" s="3"/>
      <c r="AB22" s="3"/>
      <c r="AC22" s="3"/>
      <c r="AD22" s="3"/>
      <c r="AE22" s="9"/>
      <c r="AF22" s="9"/>
      <c r="AG22" s="9"/>
      <c r="AH22" s="2"/>
    </row>
    <row r="23" spans="1:37" ht="13.5" thickBot="1">
      <c r="A23" s="73"/>
      <c r="B23" s="248" t="s">
        <v>37</v>
      </c>
      <c r="C23" s="249"/>
      <c r="D23" s="223">
        <v>1</v>
      </c>
      <c r="E23" s="224"/>
      <c r="F23" s="225"/>
      <c r="G23" s="226">
        <v>2</v>
      </c>
      <c r="H23" s="224"/>
      <c r="I23" s="225"/>
      <c r="J23" s="226">
        <v>3</v>
      </c>
      <c r="K23" s="224"/>
      <c r="L23" s="225"/>
      <c r="M23" s="226">
        <v>4</v>
      </c>
      <c r="N23" s="224"/>
      <c r="O23" s="227"/>
      <c r="P23" s="223" t="s">
        <v>3</v>
      </c>
      <c r="Q23" s="228"/>
      <c r="R23" s="229"/>
      <c r="S23" s="74" t="s">
        <v>4</v>
      </c>
      <c r="T23" s="75" t="s">
        <v>5</v>
      </c>
      <c r="U23" s="2"/>
      <c r="V23" s="2"/>
      <c r="W23" s="4"/>
      <c r="X23" s="3"/>
      <c r="Y23" s="4"/>
      <c r="Z23" s="3"/>
      <c r="AA23" s="3"/>
      <c r="AB23" s="3"/>
      <c r="AC23" s="3"/>
      <c r="AD23" s="3"/>
      <c r="AE23" s="9"/>
      <c r="AF23" s="9"/>
      <c r="AG23" s="9"/>
      <c r="AH23" s="2"/>
    </row>
    <row r="24" spans="1:37" ht="13">
      <c r="A24" s="237"/>
      <c r="B24" s="250">
        <v>1</v>
      </c>
      <c r="C24" s="76" t="str">
        <f>IF(A24&gt;0,IF(VLOOKUP(A24,seznam!$A$2:$C$128,3)&gt;0,VLOOKUP(A24,seznam!$A$2:$C$128,3),"------"),"------")</f>
        <v>------</v>
      </c>
      <c r="D24" s="251"/>
      <c r="E24" s="240"/>
      <c r="F24" s="241"/>
      <c r="G24" s="236">
        <f>AE27</f>
        <v>0</v>
      </c>
      <c r="H24" s="154" t="str">
        <f>AF27</f>
        <v>:</v>
      </c>
      <c r="I24" s="137">
        <f>AG27</f>
        <v>0</v>
      </c>
      <c r="J24" s="236">
        <f>AG29</f>
        <v>0</v>
      </c>
      <c r="K24" s="154" t="str">
        <f>AF29</f>
        <v>:</v>
      </c>
      <c r="L24" s="137">
        <f>AE29</f>
        <v>0</v>
      </c>
      <c r="M24" s="236">
        <f>AE24</f>
        <v>0</v>
      </c>
      <c r="N24" s="154" t="str">
        <f>AF24</f>
        <v>:</v>
      </c>
      <c r="O24" s="233">
        <f>AG24</f>
        <v>0</v>
      </c>
      <c r="P24" s="135">
        <f>G24+J24+M24</f>
        <v>0</v>
      </c>
      <c r="Q24" s="154" t="s">
        <v>6</v>
      </c>
      <c r="R24" s="137">
        <f>I24+L24+O24</f>
        <v>0</v>
      </c>
      <c r="S24" s="230">
        <f>IF(G24&gt;I24,2,IF(AND(G24&lt;I24,H24=":"),1,0))+IF(J24&gt;L24,2,IF(AND(J24&lt;L24,K24=":"),1,0))+IF(M24&gt;O24,2,IF(AND(M24&lt;O24,N24=":"),1,0))</f>
        <v>0</v>
      </c>
      <c r="T24" s="232" t="s">
        <v>34</v>
      </c>
      <c r="U24" s="2"/>
      <c r="V24" s="77">
        <v>1</v>
      </c>
      <c r="W24" s="78" t="str">
        <f>C25</f>
        <v>------</v>
      </c>
      <c r="X24" s="6" t="s">
        <v>8</v>
      </c>
      <c r="Y24" s="5" t="str">
        <f>C31</f>
        <v>------</v>
      </c>
      <c r="Z24" s="20"/>
      <c r="AA24" s="21"/>
      <c r="AB24" s="21"/>
      <c r="AC24" s="21"/>
      <c r="AD24" s="23"/>
      <c r="AE24" s="10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11" t="s">
        <v>6</v>
      </c>
      <c r="AG24" s="12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H24" s="2"/>
      <c r="AJ24">
        <f>A24</f>
        <v>0</v>
      </c>
      <c r="AK24">
        <f>A30</f>
        <v>0</v>
      </c>
    </row>
    <row r="25" spans="1:37" ht="13">
      <c r="A25" s="234"/>
      <c r="B25" s="134"/>
      <c r="C25" s="79" t="str">
        <f>IF(A24&gt;0,IF(VLOOKUP(A24,seznam!$A$2:$C$128,2)&gt;0,VLOOKUP(A24,seznam!$A$2:$C$128,2),"------"),"------")</f>
        <v>------</v>
      </c>
      <c r="D25" s="144"/>
      <c r="E25" s="144"/>
      <c r="F25" s="145"/>
      <c r="G25" s="151"/>
      <c r="H25" s="148"/>
      <c r="I25" s="138"/>
      <c r="J25" s="151"/>
      <c r="K25" s="148"/>
      <c r="L25" s="138"/>
      <c r="M25" s="151"/>
      <c r="N25" s="148"/>
      <c r="O25" s="157"/>
      <c r="P25" s="136"/>
      <c r="Q25" s="148"/>
      <c r="R25" s="138"/>
      <c r="S25" s="231"/>
      <c r="T25" s="200"/>
      <c r="U25" s="2"/>
      <c r="V25" s="80">
        <v>2</v>
      </c>
      <c r="W25" s="81" t="str">
        <f>C27</f>
        <v>------</v>
      </c>
      <c r="X25" s="7" t="s">
        <v>8</v>
      </c>
      <c r="Y25" s="82" t="str">
        <f>C29</f>
        <v>------</v>
      </c>
      <c r="Z25" s="22"/>
      <c r="AA25" s="19"/>
      <c r="AB25" s="19"/>
      <c r="AC25" s="19"/>
      <c r="AD25" s="83"/>
      <c r="AE25" s="26">
        <f t="shared" si="4"/>
        <v>0</v>
      </c>
      <c r="AF25" s="13" t="s">
        <v>6</v>
      </c>
      <c r="AG25" s="27">
        <f t="shared" si="5"/>
        <v>0</v>
      </c>
      <c r="AH25" s="2"/>
      <c r="AJ25">
        <f>A26</f>
        <v>0</v>
      </c>
      <c r="AK25">
        <f>A28</f>
        <v>0</v>
      </c>
    </row>
    <row r="26" spans="1:37" ht="13">
      <c r="A26" s="234"/>
      <c r="B26" s="139">
        <v>2</v>
      </c>
      <c r="C26" s="29" t="str">
        <f>IF(A26&gt;0,IF(VLOOKUP(A26,seznam!$A$2:$C$128,3)&gt;0,VLOOKUP(A26,seznam!$A$2:$C$128,3),"------"),"------")</f>
        <v>------</v>
      </c>
      <c r="D26" s="129">
        <f>I24</f>
        <v>0</v>
      </c>
      <c r="E26" s="129" t="str">
        <f>H24</f>
        <v>:</v>
      </c>
      <c r="F26" s="147">
        <f>G24</f>
        <v>0</v>
      </c>
      <c r="G26" s="175"/>
      <c r="H26" s="176"/>
      <c r="I26" s="183"/>
      <c r="J26" s="150">
        <f>AE25</f>
        <v>0</v>
      </c>
      <c r="K26" s="129" t="str">
        <f>AF25</f>
        <v>:</v>
      </c>
      <c r="L26" s="147">
        <f>AG25</f>
        <v>0</v>
      </c>
      <c r="M26" s="150">
        <f>AE28</f>
        <v>0</v>
      </c>
      <c r="N26" s="129" t="str">
        <f>AF28</f>
        <v>:</v>
      </c>
      <c r="O26" s="156">
        <f>AG28</f>
        <v>0</v>
      </c>
      <c r="P26" s="149">
        <f>D26+J26+M26</f>
        <v>0</v>
      </c>
      <c r="Q26" s="129" t="s">
        <v>6</v>
      </c>
      <c r="R26" s="147">
        <f>F26+L26+O26</f>
        <v>0</v>
      </c>
      <c r="S26" s="244">
        <f>IF(D26&gt;F26,2,IF(AND(D26&lt;F26,E26=":"),1,0))+IF(J26&gt;L26,2,IF(AND(J26&lt;L26,K26=":"),1,0))+IF(M26&gt;O26,2,IF(AND(M26&lt;O26,N26=":"),1,0))</f>
        <v>0</v>
      </c>
      <c r="T26" s="199" t="s">
        <v>35</v>
      </c>
      <c r="U26" s="2"/>
      <c r="V26" s="80">
        <v>3</v>
      </c>
      <c r="W26" s="81" t="str">
        <f>C31</f>
        <v>------</v>
      </c>
      <c r="X26" s="84" t="s">
        <v>8</v>
      </c>
      <c r="Y26" s="82" t="str">
        <f>C29</f>
        <v>------</v>
      </c>
      <c r="Z26" s="22"/>
      <c r="AA26" s="19"/>
      <c r="AB26" s="19"/>
      <c r="AC26" s="19"/>
      <c r="AD26" s="83"/>
      <c r="AE26" s="26">
        <f t="shared" si="4"/>
        <v>0</v>
      </c>
      <c r="AF26" s="13" t="s">
        <v>6</v>
      </c>
      <c r="AG26" s="27">
        <f t="shared" si="5"/>
        <v>0</v>
      </c>
      <c r="AH26" s="2"/>
      <c r="AJ26">
        <f>A30</f>
        <v>0</v>
      </c>
      <c r="AK26">
        <f>A28</f>
        <v>0</v>
      </c>
    </row>
    <row r="27" spans="1:37" ht="13">
      <c r="A27" s="234"/>
      <c r="B27" s="134"/>
      <c r="C27" s="30" t="str">
        <f>IF(A26&gt;0,IF(VLOOKUP(A26,seznam!$A$2:$C$128,2)&gt;0,VLOOKUP(A26,seznam!$A$2:$C$128,2),"------"),"------")</f>
        <v>------</v>
      </c>
      <c r="D27" s="148"/>
      <c r="E27" s="148"/>
      <c r="F27" s="138"/>
      <c r="G27" s="184"/>
      <c r="H27" s="144"/>
      <c r="I27" s="145"/>
      <c r="J27" s="151"/>
      <c r="K27" s="148"/>
      <c r="L27" s="138"/>
      <c r="M27" s="151"/>
      <c r="N27" s="148"/>
      <c r="O27" s="157"/>
      <c r="P27" s="242"/>
      <c r="Q27" s="130"/>
      <c r="R27" s="243"/>
      <c r="S27" s="231"/>
      <c r="T27" s="200"/>
      <c r="U27" s="2"/>
      <c r="V27" s="80">
        <v>4</v>
      </c>
      <c r="W27" s="81" t="str">
        <f>C25</f>
        <v>------</v>
      </c>
      <c r="X27" s="7" t="s">
        <v>8</v>
      </c>
      <c r="Y27" s="82" t="str">
        <f>C27</f>
        <v>------</v>
      </c>
      <c r="Z27" s="22"/>
      <c r="AA27" s="19"/>
      <c r="AB27" s="19"/>
      <c r="AC27" s="19"/>
      <c r="AD27" s="83"/>
      <c r="AE27" s="26">
        <f t="shared" si="4"/>
        <v>0</v>
      </c>
      <c r="AF27" s="13" t="s">
        <v>6</v>
      </c>
      <c r="AG27" s="27">
        <f t="shared" si="5"/>
        <v>0</v>
      </c>
      <c r="AH27" s="2"/>
      <c r="AJ27">
        <f>A24</f>
        <v>0</v>
      </c>
      <c r="AK27">
        <f>A26</f>
        <v>0</v>
      </c>
    </row>
    <row r="28" spans="1:37" ht="13">
      <c r="A28" s="234"/>
      <c r="B28" s="139">
        <v>3</v>
      </c>
      <c r="C28" s="29" t="str">
        <f>IF(A28&gt;0,IF(VLOOKUP(A28,seznam!$A$2:$C$128,3)&gt;0,VLOOKUP(A28,seznam!$A$2:$C$128,3),"------"),"------")</f>
        <v>------</v>
      </c>
      <c r="D28" s="129">
        <f>L24</f>
        <v>0</v>
      </c>
      <c r="E28" s="129" t="str">
        <f>K24</f>
        <v>:</v>
      </c>
      <c r="F28" s="147">
        <f>J24</f>
        <v>0</v>
      </c>
      <c r="G28" s="150">
        <f>L26</f>
        <v>0</v>
      </c>
      <c r="H28" s="129" t="str">
        <f>K26</f>
        <v>:</v>
      </c>
      <c r="I28" s="147">
        <f>J26</f>
        <v>0</v>
      </c>
      <c r="J28" s="175"/>
      <c r="K28" s="176"/>
      <c r="L28" s="183"/>
      <c r="M28" s="150">
        <f>AG26</f>
        <v>0</v>
      </c>
      <c r="N28" s="129" t="str">
        <f>AF26</f>
        <v>:</v>
      </c>
      <c r="O28" s="156">
        <f>AE26</f>
        <v>0</v>
      </c>
      <c r="P28" s="149">
        <f>D28+G28+M28</f>
        <v>0</v>
      </c>
      <c r="Q28" s="129" t="s">
        <v>6</v>
      </c>
      <c r="R28" s="147">
        <f>F28+I28+O28</f>
        <v>0</v>
      </c>
      <c r="S28" s="244">
        <f>IF(D28&gt;F28,2,IF(AND(D28&lt;F28,E28=":"),1,0))+IF(G28&gt;I28,2,IF(AND(G28&lt;I28,H28=":"),1,0))+IF(M28&gt;O28,2,IF(AND(M28&lt;O28,N28=":"),1,0))</f>
        <v>0</v>
      </c>
      <c r="T28" s="199" t="s">
        <v>33</v>
      </c>
      <c r="U28" s="2"/>
      <c r="V28" s="80">
        <v>5</v>
      </c>
      <c r="W28" s="81" t="str">
        <f>C27</f>
        <v>------</v>
      </c>
      <c r="X28" s="7" t="s">
        <v>8</v>
      </c>
      <c r="Y28" s="82" t="str">
        <f>C31</f>
        <v>------</v>
      </c>
      <c r="Z28" s="22"/>
      <c r="AA28" s="19"/>
      <c r="AB28" s="19"/>
      <c r="AC28" s="19"/>
      <c r="AD28" s="83"/>
      <c r="AE28" s="26">
        <f t="shared" si="4"/>
        <v>0</v>
      </c>
      <c r="AF28" s="13" t="s">
        <v>6</v>
      </c>
      <c r="AG28" s="27">
        <f t="shared" si="5"/>
        <v>0</v>
      </c>
      <c r="AH28" s="2"/>
      <c r="AJ28">
        <f>A26</f>
        <v>0</v>
      </c>
      <c r="AK28">
        <f>A30</f>
        <v>0</v>
      </c>
    </row>
    <row r="29" spans="1:37" ht="13.5" thickBot="1">
      <c r="A29" s="234"/>
      <c r="B29" s="134"/>
      <c r="C29" s="30" t="str">
        <f>IF(A28&gt;0,IF(VLOOKUP(A28,seznam!$A$2:$C$128,2)&gt;0,VLOOKUP(A28,seznam!$A$2:$C$128,2),"------"),"------")</f>
        <v>------</v>
      </c>
      <c r="D29" s="148"/>
      <c r="E29" s="148"/>
      <c r="F29" s="138"/>
      <c r="G29" s="151"/>
      <c r="H29" s="148"/>
      <c r="I29" s="138"/>
      <c r="J29" s="184"/>
      <c r="K29" s="144"/>
      <c r="L29" s="145"/>
      <c r="M29" s="151"/>
      <c r="N29" s="148"/>
      <c r="O29" s="157"/>
      <c r="P29" s="136"/>
      <c r="Q29" s="148"/>
      <c r="R29" s="138"/>
      <c r="S29" s="231"/>
      <c r="T29" s="200"/>
      <c r="U29" s="2"/>
      <c r="V29" s="85">
        <v>6</v>
      </c>
      <c r="W29" s="86" t="str">
        <f>C29</f>
        <v>------</v>
      </c>
      <c r="X29" s="87" t="s">
        <v>8</v>
      </c>
      <c r="Y29" s="60" t="str">
        <f>C25</f>
        <v>------</v>
      </c>
      <c r="Z29" s="43"/>
      <c r="AA29" s="44"/>
      <c r="AB29" s="44"/>
      <c r="AC29" s="44"/>
      <c r="AD29" s="61"/>
      <c r="AE29" s="45">
        <f t="shared" si="4"/>
        <v>0</v>
      </c>
      <c r="AF29" s="46" t="s">
        <v>6</v>
      </c>
      <c r="AG29" s="47">
        <f t="shared" si="5"/>
        <v>0</v>
      </c>
      <c r="AH29" s="2"/>
      <c r="AJ29">
        <f>A28</f>
        <v>0</v>
      </c>
      <c r="AK29">
        <f>A24</f>
        <v>0</v>
      </c>
    </row>
    <row r="30" spans="1:37" ht="13">
      <c r="A30" s="234"/>
      <c r="B30" s="139">
        <v>4</v>
      </c>
      <c r="C30" s="29" t="str">
        <f>IF(A30&gt;0,IF(VLOOKUP(A30,seznam!$A$2:$C$128,3)&gt;0,VLOOKUP(A30,seznam!$A$2:$C$128,3),"------"),"------")</f>
        <v>------</v>
      </c>
      <c r="D30" s="129">
        <f>O24</f>
        <v>0</v>
      </c>
      <c r="E30" s="129" t="str">
        <f>N24</f>
        <v>:</v>
      </c>
      <c r="F30" s="147">
        <f>M24</f>
        <v>0</v>
      </c>
      <c r="G30" s="150">
        <f>O26</f>
        <v>0</v>
      </c>
      <c r="H30" s="129" t="str">
        <f>N26</f>
        <v>:</v>
      </c>
      <c r="I30" s="147">
        <f>M26</f>
        <v>0</v>
      </c>
      <c r="J30" s="150">
        <f>O28</f>
        <v>0</v>
      </c>
      <c r="K30" s="129" t="str">
        <f>N28</f>
        <v>:</v>
      </c>
      <c r="L30" s="147">
        <f>M28</f>
        <v>0</v>
      </c>
      <c r="M30" s="175"/>
      <c r="N30" s="176"/>
      <c r="O30" s="177"/>
      <c r="P30" s="149">
        <f>D30+G30+J30</f>
        <v>0</v>
      </c>
      <c r="Q30" s="129" t="s">
        <v>6</v>
      </c>
      <c r="R30" s="147">
        <f>F30+I30+L30</f>
        <v>0</v>
      </c>
      <c r="S30" s="244">
        <f>IF(D30&gt;F30,2,IF(AND(D30&lt;F30,E30=":"),1,0))+IF(G30&gt;I30,2,IF(AND(G30&lt;I30,H30=":"),1,0))+IF(J30&gt;L30,2,IF(AND(J30&lt;L30,K30=":"),1,0))</f>
        <v>0</v>
      </c>
      <c r="T30" s="199"/>
      <c r="U30" s="2"/>
      <c r="V30" s="2"/>
      <c r="W30" s="4"/>
      <c r="X30" s="3"/>
      <c r="Y30" s="4"/>
      <c r="Z30" s="3"/>
      <c r="AA30" s="3"/>
      <c r="AB30" s="3"/>
      <c r="AC30" s="3"/>
      <c r="AD30" s="3"/>
      <c r="AE30" s="9"/>
      <c r="AF30" s="9"/>
      <c r="AG30" s="9"/>
      <c r="AH30" s="2"/>
    </row>
    <row r="31" spans="1:37" ht="13.5" thickBot="1">
      <c r="A31" s="245"/>
      <c r="B31" s="174"/>
      <c r="C31" s="18" t="str">
        <f>IF(A30&gt;0,IF(VLOOKUP(A30,seznam!$A$2:$C$128,2)&gt;0,VLOOKUP(A30,seznam!$A$2:$C$128,2),"------"),"------")</f>
        <v>------</v>
      </c>
      <c r="D31" s="181"/>
      <c r="E31" s="181"/>
      <c r="F31" s="163"/>
      <c r="G31" s="158"/>
      <c r="H31" s="181"/>
      <c r="I31" s="163"/>
      <c r="J31" s="158"/>
      <c r="K31" s="181"/>
      <c r="L31" s="163"/>
      <c r="M31" s="178"/>
      <c r="N31" s="179"/>
      <c r="O31" s="180"/>
      <c r="P31" s="161"/>
      <c r="Q31" s="181"/>
      <c r="R31" s="163"/>
      <c r="S31" s="246"/>
      <c r="T31" s="201"/>
      <c r="U31" s="2"/>
      <c r="V31" s="2"/>
      <c r="W31" s="4"/>
      <c r="X31" s="3"/>
      <c r="Y31" s="4"/>
      <c r="Z31" s="3"/>
      <c r="AA31" s="3"/>
      <c r="AB31" s="3"/>
      <c r="AC31" s="3"/>
      <c r="AD31" s="3"/>
      <c r="AE31" s="9"/>
      <c r="AF31" s="9"/>
      <c r="AG31" s="9"/>
      <c r="AH31" s="2"/>
    </row>
    <row r="32" spans="1:37" ht="13.5" thickBot="1">
      <c r="A32" s="7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8"/>
      <c r="U32" s="2"/>
      <c r="V32" s="2"/>
      <c r="W32" s="4"/>
      <c r="X32" s="3"/>
      <c r="Y32" s="4"/>
      <c r="Z32" s="3"/>
      <c r="AA32" s="3"/>
      <c r="AB32" s="3"/>
      <c r="AC32" s="3"/>
      <c r="AD32" s="3"/>
      <c r="AE32" s="9"/>
      <c r="AF32" s="9"/>
      <c r="AG32" s="9"/>
      <c r="AH32" s="2"/>
    </row>
    <row r="33" spans="1:37" ht="13.5" thickBot="1">
      <c r="A33" s="73"/>
      <c r="B33" s="248" t="s">
        <v>38</v>
      </c>
      <c r="C33" s="249"/>
      <c r="D33" s="223">
        <v>1</v>
      </c>
      <c r="E33" s="224"/>
      <c r="F33" s="225"/>
      <c r="G33" s="226">
        <v>2</v>
      </c>
      <c r="H33" s="224"/>
      <c r="I33" s="225"/>
      <c r="J33" s="226">
        <v>3</v>
      </c>
      <c r="K33" s="224"/>
      <c r="L33" s="225"/>
      <c r="M33" s="226">
        <v>4</v>
      </c>
      <c r="N33" s="224"/>
      <c r="O33" s="227"/>
      <c r="P33" s="223" t="s">
        <v>3</v>
      </c>
      <c r="Q33" s="228"/>
      <c r="R33" s="229"/>
      <c r="S33" s="74" t="s">
        <v>4</v>
      </c>
      <c r="T33" s="75" t="s">
        <v>5</v>
      </c>
      <c r="U33" s="2"/>
      <c r="V33" s="2"/>
      <c r="W33" s="4"/>
      <c r="X33" s="3"/>
      <c r="Y33" s="4"/>
      <c r="Z33" s="3"/>
      <c r="AA33" s="3"/>
      <c r="AB33" s="3"/>
      <c r="AC33" s="3"/>
      <c r="AD33" s="3"/>
      <c r="AE33" s="9"/>
      <c r="AF33" s="9"/>
      <c r="AG33" s="9"/>
      <c r="AH33" s="2"/>
    </row>
    <row r="34" spans="1:37" ht="13">
      <c r="A34" s="237"/>
      <c r="B34" s="250">
        <v>1</v>
      </c>
      <c r="C34" s="76" t="str">
        <f>IF(A34&gt;0,IF(VLOOKUP(A34,seznam!$A$2:$C$128,3)&gt;0,VLOOKUP(A34,seznam!$A$2:$C$128,3),"------"),"------")</f>
        <v>------</v>
      </c>
      <c r="D34" s="251"/>
      <c r="E34" s="240"/>
      <c r="F34" s="241"/>
      <c r="G34" s="236">
        <f>AE37</f>
        <v>0</v>
      </c>
      <c r="H34" s="154" t="str">
        <f>AF37</f>
        <v>:</v>
      </c>
      <c r="I34" s="137">
        <f>AG37</f>
        <v>0</v>
      </c>
      <c r="J34" s="236">
        <f>AG39</f>
        <v>0</v>
      </c>
      <c r="K34" s="154" t="str">
        <f>AF39</f>
        <v>:</v>
      </c>
      <c r="L34" s="137">
        <f>AE39</f>
        <v>0</v>
      </c>
      <c r="M34" s="236">
        <f>AE34</f>
        <v>0</v>
      </c>
      <c r="N34" s="154" t="str">
        <f>AF34</f>
        <v>:</v>
      </c>
      <c r="O34" s="233">
        <f>AG34</f>
        <v>0</v>
      </c>
      <c r="P34" s="135">
        <f>G34+J34+M34</f>
        <v>0</v>
      </c>
      <c r="Q34" s="154" t="s">
        <v>6</v>
      </c>
      <c r="R34" s="137">
        <f>I34+L34+O34</f>
        <v>0</v>
      </c>
      <c r="S34" s="230">
        <f>IF(G34&gt;I34,2,IF(AND(G34&lt;I34,H34=":"),1,0))+IF(J34&gt;L34,2,IF(AND(J34&lt;L34,K34=":"),1,0))+IF(M34&gt;O34,2,IF(AND(M34&lt;O34,N34=":"),1,0))</f>
        <v>0</v>
      </c>
      <c r="T34" s="232" t="s">
        <v>35</v>
      </c>
      <c r="U34" s="2"/>
      <c r="V34" s="77">
        <v>1</v>
      </c>
      <c r="W34" s="78" t="str">
        <f>C35</f>
        <v>------</v>
      </c>
      <c r="X34" s="6" t="s">
        <v>8</v>
      </c>
      <c r="Y34" s="5" t="str">
        <f>C41</f>
        <v>------</v>
      </c>
      <c r="Z34" s="20"/>
      <c r="AA34" s="21"/>
      <c r="AB34" s="21"/>
      <c r="AC34" s="21"/>
      <c r="AD34" s="23"/>
      <c r="AE34" s="10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0</v>
      </c>
      <c r="AF34" s="11" t="s">
        <v>6</v>
      </c>
      <c r="AG34" s="12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H34" s="2"/>
      <c r="AJ34">
        <f>A34</f>
        <v>0</v>
      </c>
      <c r="AK34">
        <f>A40</f>
        <v>0</v>
      </c>
    </row>
    <row r="35" spans="1:37" ht="13">
      <c r="A35" s="234"/>
      <c r="B35" s="134"/>
      <c r="C35" s="79" t="str">
        <f>IF(A34&gt;0,IF(VLOOKUP(A34,seznam!$A$2:$C$128,2)&gt;0,VLOOKUP(A34,seznam!$A$2:$C$128,2),"------"),"------")</f>
        <v>------</v>
      </c>
      <c r="D35" s="144"/>
      <c r="E35" s="144"/>
      <c r="F35" s="145"/>
      <c r="G35" s="151"/>
      <c r="H35" s="148"/>
      <c r="I35" s="138"/>
      <c r="J35" s="151"/>
      <c r="K35" s="148"/>
      <c r="L35" s="138"/>
      <c r="M35" s="151"/>
      <c r="N35" s="148"/>
      <c r="O35" s="157"/>
      <c r="P35" s="136"/>
      <c r="Q35" s="148"/>
      <c r="R35" s="138"/>
      <c r="S35" s="231"/>
      <c r="T35" s="200"/>
      <c r="U35" s="2"/>
      <c r="V35" s="80">
        <v>2</v>
      </c>
      <c r="W35" s="81" t="str">
        <f>C37</f>
        <v>------</v>
      </c>
      <c r="X35" s="7" t="s">
        <v>8</v>
      </c>
      <c r="Y35" s="82" t="str">
        <f>C39</f>
        <v>------</v>
      </c>
      <c r="Z35" s="22"/>
      <c r="AA35" s="19"/>
      <c r="AB35" s="19"/>
      <c r="AC35" s="19"/>
      <c r="AD35" s="83"/>
      <c r="AE35" s="26">
        <f t="shared" si="6"/>
        <v>0</v>
      </c>
      <c r="AF35" s="13" t="s">
        <v>6</v>
      </c>
      <c r="AG35" s="27">
        <f t="shared" si="7"/>
        <v>0</v>
      </c>
      <c r="AH35" s="2"/>
      <c r="AJ35">
        <f>A36</f>
        <v>0</v>
      </c>
      <c r="AK35">
        <f>A38</f>
        <v>0</v>
      </c>
    </row>
    <row r="36" spans="1:37" ht="13">
      <c r="A36" s="234"/>
      <c r="B36" s="139">
        <v>2</v>
      </c>
      <c r="C36" s="29" t="str">
        <f>IF(A36&gt;0,IF(VLOOKUP(A36,seznam!$A$2:$C$128,3)&gt;0,VLOOKUP(A36,seznam!$A$2:$C$128,3),"------"),"------")</f>
        <v>------</v>
      </c>
      <c r="D36" s="129">
        <f>I34</f>
        <v>0</v>
      </c>
      <c r="E36" s="129" t="str">
        <f>H34</f>
        <v>:</v>
      </c>
      <c r="F36" s="147">
        <f>G34</f>
        <v>0</v>
      </c>
      <c r="G36" s="175"/>
      <c r="H36" s="176"/>
      <c r="I36" s="183"/>
      <c r="J36" s="150">
        <f>AE35</f>
        <v>0</v>
      </c>
      <c r="K36" s="129" t="str">
        <f>AF35</f>
        <v>:</v>
      </c>
      <c r="L36" s="147">
        <f>AG35</f>
        <v>0</v>
      </c>
      <c r="M36" s="150">
        <f>AE38</f>
        <v>0</v>
      </c>
      <c r="N36" s="129" t="str">
        <f>AF38</f>
        <v>:</v>
      </c>
      <c r="O36" s="156">
        <f>AG38</f>
        <v>0</v>
      </c>
      <c r="P36" s="149">
        <f>D36+J36+M36</f>
        <v>0</v>
      </c>
      <c r="Q36" s="129" t="s">
        <v>6</v>
      </c>
      <c r="R36" s="147">
        <f>F36+L36+O36</f>
        <v>0</v>
      </c>
      <c r="S36" s="244">
        <f>IF(D36&gt;F36,2,IF(AND(D36&lt;F36,E36=":"),1,0))+IF(J36&gt;L36,2,IF(AND(J36&lt;L36,K36=":"),1,0))+IF(M36&gt;O36,2,IF(AND(M36&lt;O36,N36=":"),1,0))</f>
        <v>0</v>
      </c>
      <c r="T36" s="199" t="s">
        <v>33</v>
      </c>
      <c r="U36" s="2"/>
      <c r="V36" s="80">
        <v>3</v>
      </c>
      <c r="W36" s="81" t="str">
        <f>C41</f>
        <v>------</v>
      </c>
      <c r="X36" s="84" t="s">
        <v>8</v>
      </c>
      <c r="Y36" s="82" t="str">
        <f>C39</f>
        <v>------</v>
      </c>
      <c r="Z36" s="22"/>
      <c r="AA36" s="19"/>
      <c r="AB36" s="19"/>
      <c r="AC36" s="19"/>
      <c r="AD36" s="83"/>
      <c r="AE36" s="26">
        <f t="shared" si="6"/>
        <v>0</v>
      </c>
      <c r="AF36" s="13" t="s">
        <v>6</v>
      </c>
      <c r="AG36" s="27">
        <f t="shared" si="7"/>
        <v>0</v>
      </c>
      <c r="AH36" s="2"/>
      <c r="AJ36">
        <f>A40</f>
        <v>0</v>
      </c>
      <c r="AK36">
        <f>A38</f>
        <v>0</v>
      </c>
    </row>
    <row r="37" spans="1:37" ht="13">
      <c r="A37" s="234"/>
      <c r="B37" s="134"/>
      <c r="C37" s="30" t="str">
        <f>IF(A36&gt;0,IF(VLOOKUP(A36,seznam!$A$2:$C$128,2)&gt;0,VLOOKUP(A36,seznam!$A$2:$C$128,2),"------"),"------")</f>
        <v>------</v>
      </c>
      <c r="D37" s="148"/>
      <c r="E37" s="148"/>
      <c r="F37" s="138"/>
      <c r="G37" s="184"/>
      <c r="H37" s="144"/>
      <c r="I37" s="145"/>
      <c r="J37" s="151"/>
      <c r="K37" s="148"/>
      <c r="L37" s="138"/>
      <c r="M37" s="151"/>
      <c r="N37" s="148"/>
      <c r="O37" s="157"/>
      <c r="P37" s="242"/>
      <c r="Q37" s="130"/>
      <c r="R37" s="243"/>
      <c r="S37" s="231"/>
      <c r="T37" s="200"/>
      <c r="U37" s="2"/>
      <c r="V37" s="80">
        <v>4</v>
      </c>
      <c r="W37" s="81" t="str">
        <f>C35</f>
        <v>------</v>
      </c>
      <c r="X37" s="7" t="s">
        <v>8</v>
      </c>
      <c r="Y37" s="82" t="str">
        <f>C37</f>
        <v>------</v>
      </c>
      <c r="Z37" s="22"/>
      <c r="AA37" s="19"/>
      <c r="AB37" s="19"/>
      <c r="AC37" s="19"/>
      <c r="AD37" s="83"/>
      <c r="AE37" s="26">
        <f t="shared" si="6"/>
        <v>0</v>
      </c>
      <c r="AF37" s="13" t="s">
        <v>6</v>
      </c>
      <c r="AG37" s="27">
        <f t="shared" si="7"/>
        <v>0</v>
      </c>
      <c r="AH37" s="2"/>
      <c r="AJ37">
        <f>A34</f>
        <v>0</v>
      </c>
      <c r="AK37">
        <f>A36</f>
        <v>0</v>
      </c>
    </row>
    <row r="38" spans="1:37" ht="13">
      <c r="A38" s="234"/>
      <c r="B38" s="139">
        <v>3</v>
      </c>
      <c r="C38" s="29" t="str">
        <f>IF(A38&gt;0,IF(VLOOKUP(A38,seznam!$A$2:$C$128,3)&gt;0,VLOOKUP(A38,seznam!$A$2:$C$128,3),"------"),"------")</f>
        <v>------</v>
      </c>
      <c r="D38" s="129">
        <f>L34</f>
        <v>0</v>
      </c>
      <c r="E38" s="129" t="str">
        <f>K34</f>
        <v>:</v>
      </c>
      <c r="F38" s="147">
        <f>J34</f>
        <v>0</v>
      </c>
      <c r="G38" s="150">
        <f>L36</f>
        <v>0</v>
      </c>
      <c r="H38" s="129" t="str">
        <f>K36</f>
        <v>:</v>
      </c>
      <c r="I38" s="147">
        <f>J36</f>
        <v>0</v>
      </c>
      <c r="J38" s="175"/>
      <c r="K38" s="176"/>
      <c r="L38" s="183"/>
      <c r="M38" s="150">
        <f>AG36</f>
        <v>0</v>
      </c>
      <c r="N38" s="129" t="str">
        <f>AF36</f>
        <v>:</v>
      </c>
      <c r="O38" s="156">
        <f>AE36</f>
        <v>0</v>
      </c>
      <c r="P38" s="149">
        <f>D38+G38+M38</f>
        <v>0</v>
      </c>
      <c r="Q38" s="129" t="s">
        <v>6</v>
      </c>
      <c r="R38" s="147">
        <f>F38+I38+O38</f>
        <v>0</v>
      </c>
      <c r="S38" s="244">
        <f>IF(D38&gt;F38,2,IF(AND(D38&lt;F38,E38=":"),1,0))+IF(G38&gt;I38,2,IF(AND(G38&lt;I38,H38=":"),1,0))+IF(M38&gt;O38,2,IF(AND(M38&lt;O38,N38=":"),1,0))</f>
        <v>0</v>
      </c>
      <c r="T38" s="199" t="s">
        <v>34</v>
      </c>
      <c r="U38" s="2"/>
      <c r="V38" s="80">
        <v>5</v>
      </c>
      <c r="W38" s="81" t="str">
        <f>C37</f>
        <v>------</v>
      </c>
      <c r="X38" s="7" t="s">
        <v>8</v>
      </c>
      <c r="Y38" s="82" t="str">
        <f>C41</f>
        <v>------</v>
      </c>
      <c r="Z38" s="22"/>
      <c r="AA38" s="19"/>
      <c r="AB38" s="19"/>
      <c r="AC38" s="19"/>
      <c r="AD38" s="83"/>
      <c r="AE38" s="26">
        <f t="shared" si="6"/>
        <v>0</v>
      </c>
      <c r="AF38" s="13" t="s">
        <v>6</v>
      </c>
      <c r="AG38" s="27">
        <f t="shared" si="7"/>
        <v>0</v>
      </c>
      <c r="AH38" s="2"/>
      <c r="AJ38">
        <f>A36</f>
        <v>0</v>
      </c>
      <c r="AK38">
        <f>A40</f>
        <v>0</v>
      </c>
    </row>
    <row r="39" spans="1:37" ht="13.5" thickBot="1">
      <c r="A39" s="234"/>
      <c r="B39" s="134"/>
      <c r="C39" s="30" t="str">
        <f>IF(A38&gt;0,IF(VLOOKUP(A38,seznam!$A$2:$C$128,2)&gt;0,VLOOKUP(A38,seznam!$A$2:$C$128,2),"------"),"------")</f>
        <v>------</v>
      </c>
      <c r="D39" s="148"/>
      <c r="E39" s="148"/>
      <c r="F39" s="138"/>
      <c r="G39" s="151"/>
      <c r="H39" s="148"/>
      <c r="I39" s="138"/>
      <c r="J39" s="184"/>
      <c r="K39" s="144"/>
      <c r="L39" s="145"/>
      <c r="M39" s="151"/>
      <c r="N39" s="148"/>
      <c r="O39" s="157"/>
      <c r="P39" s="136"/>
      <c r="Q39" s="148"/>
      <c r="R39" s="138"/>
      <c r="S39" s="231"/>
      <c r="T39" s="200"/>
      <c r="U39" s="2"/>
      <c r="V39" s="85">
        <v>6</v>
      </c>
      <c r="W39" s="86" t="str">
        <f>C39</f>
        <v>------</v>
      </c>
      <c r="X39" s="87" t="s">
        <v>8</v>
      </c>
      <c r="Y39" s="60" t="str">
        <f>C35</f>
        <v>------</v>
      </c>
      <c r="Z39" s="43"/>
      <c r="AA39" s="44"/>
      <c r="AB39" s="44"/>
      <c r="AC39" s="44"/>
      <c r="AD39" s="61"/>
      <c r="AE39" s="45">
        <f t="shared" si="6"/>
        <v>0</v>
      </c>
      <c r="AF39" s="46" t="s">
        <v>6</v>
      </c>
      <c r="AG39" s="47">
        <f t="shared" si="7"/>
        <v>0</v>
      </c>
      <c r="AH39" s="2"/>
      <c r="AJ39">
        <f>A38</f>
        <v>0</v>
      </c>
      <c r="AK39">
        <f>A34</f>
        <v>0</v>
      </c>
    </row>
    <row r="40" spans="1:37" ht="13">
      <c r="A40" s="234"/>
      <c r="B40" s="139">
        <v>4</v>
      </c>
      <c r="C40" s="29" t="str">
        <f>IF(A40&gt;0,IF(VLOOKUP(A40,seznam!$A$2:$C$128,3)&gt;0,VLOOKUP(A40,seznam!$A$2:$C$128,3),"------"),"------")</f>
        <v>------</v>
      </c>
      <c r="D40" s="129">
        <f>O34</f>
        <v>0</v>
      </c>
      <c r="E40" s="129" t="str">
        <f>N34</f>
        <v>:</v>
      </c>
      <c r="F40" s="147">
        <f>M34</f>
        <v>0</v>
      </c>
      <c r="G40" s="150">
        <f>O36</f>
        <v>0</v>
      </c>
      <c r="H40" s="129" t="str">
        <f>N36</f>
        <v>:</v>
      </c>
      <c r="I40" s="147">
        <f>M36</f>
        <v>0</v>
      </c>
      <c r="J40" s="150">
        <f>O38</f>
        <v>0</v>
      </c>
      <c r="K40" s="129" t="str">
        <f>N38</f>
        <v>:</v>
      </c>
      <c r="L40" s="147">
        <f>M38</f>
        <v>0</v>
      </c>
      <c r="M40" s="175"/>
      <c r="N40" s="176"/>
      <c r="O40" s="177"/>
      <c r="P40" s="149">
        <f>D40+G40+J40</f>
        <v>0</v>
      </c>
      <c r="Q40" s="129" t="s">
        <v>6</v>
      </c>
      <c r="R40" s="147">
        <f>F40+I40+L40</f>
        <v>0</v>
      </c>
      <c r="S40" s="244">
        <f>IF(D40&gt;F40,2,IF(AND(D40&lt;F40,E40=":"),1,0))+IF(G40&gt;I40,2,IF(AND(G40&lt;I40,H40=":"),1,0))+IF(J40&gt;L40,2,IF(AND(J40&lt;L40,K40=":"),1,0))</f>
        <v>0</v>
      </c>
      <c r="T40" s="199" t="s">
        <v>36</v>
      </c>
      <c r="U40" s="2"/>
      <c r="V40" s="2"/>
      <c r="W40" s="4"/>
      <c r="X40" s="3"/>
      <c r="Y40" s="4"/>
      <c r="Z40" s="3"/>
      <c r="AA40" s="3"/>
      <c r="AB40" s="3"/>
      <c r="AC40" s="3"/>
      <c r="AD40" s="3"/>
      <c r="AE40" s="9"/>
      <c r="AF40" s="9"/>
      <c r="AG40" s="9"/>
      <c r="AH40" s="2"/>
    </row>
    <row r="41" spans="1:37" ht="13.5" thickBot="1">
      <c r="A41" s="245"/>
      <c r="B41" s="174"/>
      <c r="C41" s="18" t="str">
        <f>IF(A40&gt;0,IF(VLOOKUP(A40,seznam!$A$2:$C$128,2)&gt;0,VLOOKUP(A40,seznam!$A$2:$C$128,2),"------"),"------")</f>
        <v>------</v>
      </c>
      <c r="D41" s="181"/>
      <c r="E41" s="181"/>
      <c r="F41" s="163"/>
      <c r="G41" s="158"/>
      <c r="H41" s="181"/>
      <c r="I41" s="163"/>
      <c r="J41" s="158"/>
      <c r="K41" s="181"/>
      <c r="L41" s="163"/>
      <c r="M41" s="178"/>
      <c r="N41" s="179"/>
      <c r="O41" s="180"/>
      <c r="P41" s="161"/>
      <c r="Q41" s="181"/>
      <c r="R41" s="163"/>
      <c r="S41" s="246"/>
      <c r="T41" s="201"/>
      <c r="U41" s="2"/>
      <c r="V41" s="2"/>
      <c r="W41" s="4"/>
      <c r="X41" s="3"/>
      <c r="Y41" s="4"/>
      <c r="Z41" s="3"/>
      <c r="AA41" s="3"/>
      <c r="AB41" s="3"/>
      <c r="AC41" s="3"/>
      <c r="AD41" s="3"/>
      <c r="AE41" s="9"/>
      <c r="AF41" s="9"/>
      <c r="AG41" s="9"/>
      <c r="AH41" s="2"/>
    </row>
    <row r="42" spans="1:37" ht="13">
      <c r="A42" s="7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8"/>
      <c r="U42" s="2"/>
      <c r="V42" s="2"/>
      <c r="W42" s="4"/>
      <c r="X42" s="3"/>
      <c r="Y42" s="4"/>
      <c r="Z42" s="3"/>
      <c r="AA42" s="3"/>
      <c r="AB42" s="3"/>
      <c r="AC42" s="3"/>
      <c r="AD42" s="3"/>
      <c r="AE42" s="9"/>
      <c r="AF42" s="9"/>
      <c r="AG42" s="9"/>
      <c r="AH42" s="2"/>
    </row>
  </sheetData>
  <mergeCells count="297">
    <mergeCell ref="Q40:Q41"/>
    <mergeCell ref="R40:R41"/>
    <mergeCell ref="S40:S41"/>
    <mergeCell ref="T40:T41"/>
    <mergeCell ref="G40:G41"/>
    <mergeCell ref="H40:H41"/>
    <mergeCell ref="I40:I41"/>
    <mergeCell ref="J40:J41"/>
    <mergeCell ref="K40:K41"/>
    <mergeCell ref="L40:L41"/>
    <mergeCell ref="P38:P39"/>
    <mergeCell ref="Q38:Q39"/>
    <mergeCell ref="R38:R39"/>
    <mergeCell ref="S38:S39"/>
    <mergeCell ref="T38:T39"/>
    <mergeCell ref="A40:A41"/>
    <mergeCell ref="B40:B41"/>
    <mergeCell ref="D40:D41"/>
    <mergeCell ref="E40:E41"/>
    <mergeCell ref="F40:F41"/>
    <mergeCell ref="H38:H39"/>
    <mergeCell ref="I38:I39"/>
    <mergeCell ref="J38:L39"/>
    <mergeCell ref="M38:M39"/>
    <mergeCell ref="N38:N39"/>
    <mergeCell ref="O38:O39"/>
    <mergeCell ref="A38:A39"/>
    <mergeCell ref="B38:B39"/>
    <mergeCell ref="D38:D39"/>
    <mergeCell ref="E38:E39"/>
    <mergeCell ref="F38:F39"/>
    <mergeCell ref="G38:G39"/>
    <mergeCell ref="M40:O41"/>
    <mergeCell ref="P40:P41"/>
    <mergeCell ref="Q36:Q37"/>
    <mergeCell ref="R36:R37"/>
    <mergeCell ref="S36:S37"/>
    <mergeCell ref="T36:T37"/>
    <mergeCell ref="G36:I37"/>
    <mergeCell ref="J36:J37"/>
    <mergeCell ref="K36:K37"/>
    <mergeCell ref="L36:L37"/>
    <mergeCell ref="M36:M37"/>
    <mergeCell ref="N36:N37"/>
    <mergeCell ref="P34:P35"/>
    <mergeCell ref="Q34:Q35"/>
    <mergeCell ref="R34:R35"/>
    <mergeCell ref="S34:S35"/>
    <mergeCell ref="T34:T35"/>
    <mergeCell ref="A36:A37"/>
    <mergeCell ref="B36:B37"/>
    <mergeCell ref="D36:D37"/>
    <mergeCell ref="E36:E37"/>
    <mergeCell ref="F36:F37"/>
    <mergeCell ref="J34:J35"/>
    <mergeCell ref="K34:K35"/>
    <mergeCell ref="L34:L35"/>
    <mergeCell ref="M34:M35"/>
    <mergeCell ref="N34:N35"/>
    <mergeCell ref="O34:O35"/>
    <mergeCell ref="A34:A35"/>
    <mergeCell ref="B34:B35"/>
    <mergeCell ref="D34:F35"/>
    <mergeCell ref="G34:G35"/>
    <mergeCell ref="H34:H35"/>
    <mergeCell ref="I34:I35"/>
    <mergeCell ref="O36:O37"/>
    <mergeCell ref="P36:P37"/>
    <mergeCell ref="B33:C33"/>
    <mergeCell ref="D33:F33"/>
    <mergeCell ref="G33:I33"/>
    <mergeCell ref="J33:L33"/>
    <mergeCell ref="M33:O33"/>
    <mergeCell ref="P33:R33"/>
    <mergeCell ref="M30:O31"/>
    <mergeCell ref="P30:P31"/>
    <mergeCell ref="Q30:Q31"/>
    <mergeCell ref="R30:R31"/>
    <mergeCell ref="S30:S31"/>
    <mergeCell ref="T30:T31"/>
    <mergeCell ref="G30:G31"/>
    <mergeCell ref="H30:H31"/>
    <mergeCell ref="I30:I31"/>
    <mergeCell ref="J30:J31"/>
    <mergeCell ref="K30:K31"/>
    <mergeCell ref="L30:L31"/>
    <mergeCell ref="P28:P29"/>
    <mergeCell ref="Q28:Q29"/>
    <mergeCell ref="R28:R29"/>
    <mergeCell ref="S28:S29"/>
    <mergeCell ref="T28:T29"/>
    <mergeCell ref="N28:N29"/>
    <mergeCell ref="O28:O29"/>
    <mergeCell ref="A30:A31"/>
    <mergeCell ref="B30:B31"/>
    <mergeCell ref="D30:D31"/>
    <mergeCell ref="E30:E31"/>
    <mergeCell ref="F30:F31"/>
    <mergeCell ref="H28:H29"/>
    <mergeCell ref="I28:I29"/>
    <mergeCell ref="J28:L29"/>
    <mergeCell ref="M28:M29"/>
    <mergeCell ref="A28:A29"/>
    <mergeCell ref="B28:B29"/>
    <mergeCell ref="D28:D29"/>
    <mergeCell ref="E28:E29"/>
    <mergeCell ref="F28:F29"/>
    <mergeCell ref="G28:G29"/>
    <mergeCell ref="Q26:Q27"/>
    <mergeCell ref="R26:R27"/>
    <mergeCell ref="S26:S27"/>
    <mergeCell ref="T26:T27"/>
    <mergeCell ref="G26:I27"/>
    <mergeCell ref="J26:J27"/>
    <mergeCell ref="K26:K27"/>
    <mergeCell ref="L26:L27"/>
    <mergeCell ref="M26:M27"/>
    <mergeCell ref="N26:N27"/>
    <mergeCell ref="P24:P25"/>
    <mergeCell ref="Q24:Q25"/>
    <mergeCell ref="R24:R25"/>
    <mergeCell ref="S24:S25"/>
    <mergeCell ref="T24:T25"/>
    <mergeCell ref="A26:A27"/>
    <mergeCell ref="B26:B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A24:A25"/>
    <mergeCell ref="B24:B25"/>
    <mergeCell ref="D24:F25"/>
    <mergeCell ref="G24:G25"/>
    <mergeCell ref="H24:H25"/>
    <mergeCell ref="I24:I25"/>
    <mergeCell ref="O26:O27"/>
    <mergeCell ref="P26:P27"/>
    <mergeCell ref="B23:C23"/>
    <mergeCell ref="D23:F23"/>
    <mergeCell ref="G23:I23"/>
    <mergeCell ref="J23:L23"/>
    <mergeCell ref="M23:O23"/>
    <mergeCell ref="P23:R23"/>
    <mergeCell ref="M20:O21"/>
    <mergeCell ref="P20:P21"/>
    <mergeCell ref="Q20:Q21"/>
    <mergeCell ref="R20:R21"/>
    <mergeCell ref="S20:S21"/>
    <mergeCell ref="T20:T21"/>
    <mergeCell ref="G20:G21"/>
    <mergeCell ref="H20:H21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N18:N19"/>
    <mergeCell ref="O18:O19"/>
    <mergeCell ref="A20:A21"/>
    <mergeCell ref="B20:B21"/>
    <mergeCell ref="D20:D21"/>
    <mergeCell ref="E20:E21"/>
    <mergeCell ref="F20:F21"/>
    <mergeCell ref="H18:H19"/>
    <mergeCell ref="I18:I19"/>
    <mergeCell ref="J18:L19"/>
    <mergeCell ref="M18:M19"/>
    <mergeCell ref="A18:A19"/>
    <mergeCell ref="B18:B19"/>
    <mergeCell ref="D18:D19"/>
    <mergeCell ref="E18:E19"/>
    <mergeCell ref="F18:F19"/>
    <mergeCell ref="G18:G19"/>
    <mergeCell ref="Q16:Q17"/>
    <mergeCell ref="R16:R17"/>
    <mergeCell ref="S16:S17"/>
    <mergeCell ref="T16:T17"/>
    <mergeCell ref="G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A16:A17"/>
    <mergeCell ref="B16:B17"/>
    <mergeCell ref="D16:D17"/>
    <mergeCell ref="E16:E17"/>
    <mergeCell ref="F16:F17"/>
    <mergeCell ref="J14:J15"/>
    <mergeCell ref="K14:K15"/>
    <mergeCell ref="L14:L15"/>
    <mergeCell ref="M14:M15"/>
    <mergeCell ref="N14:N15"/>
    <mergeCell ref="O14:O15"/>
    <mergeCell ref="A14:A15"/>
    <mergeCell ref="B14:B15"/>
    <mergeCell ref="D14:F15"/>
    <mergeCell ref="G14:G15"/>
    <mergeCell ref="H14:H15"/>
    <mergeCell ref="I14:I15"/>
    <mergeCell ref="O16:O17"/>
    <mergeCell ref="P16:P17"/>
    <mergeCell ref="B13:C13"/>
    <mergeCell ref="D13:F13"/>
    <mergeCell ref="G13:I13"/>
    <mergeCell ref="J13:L13"/>
    <mergeCell ref="M13:O13"/>
    <mergeCell ref="P13:R13"/>
    <mergeCell ref="M10:O11"/>
    <mergeCell ref="P10:P11"/>
    <mergeCell ref="Q10:Q11"/>
    <mergeCell ref="R10:R11"/>
    <mergeCell ref="S10:S11"/>
    <mergeCell ref="T10:T11"/>
    <mergeCell ref="G10:G11"/>
    <mergeCell ref="H10:H11"/>
    <mergeCell ref="I10:I11"/>
    <mergeCell ref="J10:J11"/>
    <mergeCell ref="K10:K11"/>
    <mergeCell ref="L10:L11"/>
    <mergeCell ref="P8:P9"/>
    <mergeCell ref="Q8:Q9"/>
    <mergeCell ref="R8:R9"/>
    <mergeCell ref="S8:S9"/>
    <mergeCell ref="T8:T9"/>
    <mergeCell ref="N8:N9"/>
    <mergeCell ref="O8:O9"/>
    <mergeCell ref="A10:A11"/>
    <mergeCell ref="B10:B11"/>
    <mergeCell ref="D10:D11"/>
    <mergeCell ref="E10:E11"/>
    <mergeCell ref="F10:F11"/>
    <mergeCell ref="H8:H9"/>
    <mergeCell ref="I8:I9"/>
    <mergeCell ref="J8:L9"/>
    <mergeCell ref="M8:M9"/>
    <mergeCell ref="A8:A9"/>
    <mergeCell ref="B8:B9"/>
    <mergeCell ref="D8:D9"/>
    <mergeCell ref="E8:E9"/>
    <mergeCell ref="F8:F9"/>
    <mergeCell ref="G8:G9"/>
    <mergeCell ref="O6:O7"/>
    <mergeCell ref="P6:P7"/>
    <mergeCell ref="Q6:Q7"/>
    <mergeCell ref="R6:R7"/>
    <mergeCell ref="S6:S7"/>
    <mergeCell ref="T6:T7"/>
    <mergeCell ref="G6:I7"/>
    <mergeCell ref="J6:J7"/>
    <mergeCell ref="K6:K7"/>
    <mergeCell ref="L6:L7"/>
    <mergeCell ref="M6:M7"/>
    <mergeCell ref="N6:N7"/>
    <mergeCell ref="A6:A7"/>
    <mergeCell ref="B6:B7"/>
    <mergeCell ref="D6:D7"/>
    <mergeCell ref="E6:E7"/>
    <mergeCell ref="F6:F7"/>
    <mergeCell ref="J4:J5"/>
    <mergeCell ref="K4:K5"/>
    <mergeCell ref="L4:L5"/>
    <mergeCell ref="M4:M5"/>
    <mergeCell ref="A4:A5"/>
    <mergeCell ref="B4:B5"/>
    <mergeCell ref="D4:F5"/>
    <mergeCell ref="G4:G5"/>
    <mergeCell ref="H4:H5"/>
    <mergeCell ref="I4:I5"/>
    <mergeCell ref="B1:AG1"/>
    <mergeCell ref="B3:C3"/>
    <mergeCell ref="D3:F3"/>
    <mergeCell ref="G3:I3"/>
    <mergeCell ref="J3:L3"/>
    <mergeCell ref="M3:O3"/>
    <mergeCell ref="P3:R3"/>
    <mergeCell ref="P4:P5"/>
    <mergeCell ref="Q4:Q5"/>
    <mergeCell ref="R4:R5"/>
    <mergeCell ref="S4:S5"/>
    <mergeCell ref="T4:T5"/>
    <mergeCell ref="N4:N5"/>
    <mergeCell ref="O4:O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42"/>
  <sheetViews>
    <sheetView zoomScaleNormal="100" zoomScaleSheetLayoutView="100" workbookViewId="0">
      <selection activeCell="C1" sqref="C1:U1"/>
    </sheetView>
  </sheetViews>
  <sheetFormatPr defaultRowHeight="13"/>
  <cols>
    <col min="1" max="1" width="3.453125" style="2" customWidth="1"/>
    <col min="2" max="3" width="2" style="2" customWidth="1"/>
    <col min="4" max="4" width="21.1796875" style="2" customWidth="1"/>
    <col min="5" max="19" width="2" style="2" customWidth="1"/>
    <col min="20" max="20" width="5.7265625" style="2" customWidth="1"/>
    <col min="21" max="21" width="5.7265625" style="8" customWidth="1"/>
    <col min="22" max="22" width="2.54296875" style="2" customWidth="1"/>
    <col min="23" max="23" width="18.7265625" style="4" customWidth="1"/>
    <col min="24" max="24" width="2.7265625" style="3" customWidth="1"/>
    <col min="25" max="25" width="18.7265625" style="4" customWidth="1"/>
    <col min="26" max="30" width="2.7265625" style="3" customWidth="1"/>
    <col min="31" max="34" width="2.7265625" style="9" customWidth="1"/>
    <col min="35" max="36" width="5.7265625" style="3" customWidth="1"/>
    <col min="37" max="37" width="5.7265625" style="4" customWidth="1"/>
    <col min="38" max="38" width="5.7265625" style="2" customWidth="1"/>
    <col min="39" max="42" width="5.7265625" customWidth="1"/>
    <col min="43" max="51" width="2.7265625" customWidth="1"/>
    <col min="52" max="52" width="6.26953125" style="3" customWidth="1"/>
    <col min="53" max="53" width="5.81640625" style="3" customWidth="1"/>
    <col min="54" max="54" width="21.1796875" style="4" customWidth="1"/>
  </cols>
  <sheetData>
    <row r="1" spans="1:54" s="15" customFormat="1" ht="40" customHeight="1" thickBot="1">
      <c r="C1" s="219" t="s">
        <v>49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8"/>
      <c r="W1" s="268" t="s">
        <v>16</v>
      </c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8"/>
      <c r="AI1" s="28"/>
      <c r="AJ1" s="28"/>
      <c r="AK1" s="69"/>
      <c r="AL1" s="14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Z1" s="36"/>
      <c r="BA1" s="36"/>
      <c r="BB1" s="48"/>
    </row>
    <row r="2" spans="1:54" ht="13.5" thickBot="1">
      <c r="C2" s="188" t="s">
        <v>16</v>
      </c>
      <c r="D2" s="189"/>
      <c r="E2" s="188">
        <v>1</v>
      </c>
      <c r="F2" s="166"/>
      <c r="G2" s="166"/>
      <c r="H2" s="169">
        <v>2</v>
      </c>
      <c r="I2" s="166"/>
      <c r="J2" s="166"/>
      <c r="K2" s="169">
        <v>3</v>
      </c>
      <c r="L2" s="166"/>
      <c r="M2" s="166"/>
      <c r="N2" s="169">
        <v>4</v>
      </c>
      <c r="O2" s="166"/>
      <c r="P2" s="166"/>
      <c r="Q2" s="165" t="s">
        <v>3</v>
      </c>
      <c r="R2" s="166"/>
      <c r="S2" s="166"/>
      <c r="T2" s="169" t="s">
        <v>4</v>
      </c>
      <c r="U2" s="170" t="s">
        <v>5</v>
      </c>
      <c r="W2" s="4" t="s">
        <v>10</v>
      </c>
    </row>
    <row r="3" spans="1:54" ht="13.5" thickBot="1">
      <c r="A3"/>
      <c r="B3"/>
      <c r="C3" s="190"/>
      <c r="D3" s="171"/>
      <c r="E3" s="19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7"/>
      <c r="R3" s="168"/>
      <c r="S3" s="168"/>
      <c r="T3" s="168"/>
      <c r="U3" s="171"/>
      <c r="W3" s="39" t="str">
        <f>D5</f>
        <v>------</v>
      </c>
      <c r="X3" s="6" t="s">
        <v>8</v>
      </c>
      <c r="Y3" s="5" t="str">
        <f>D11</f>
        <v>------</v>
      </c>
      <c r="Z3" s="20"/>
      <c r="AA3" s="21"/>
      <c r="AB3" s="21"/>
      <c r="AC3" s="21"/>
      <c r="AD3" s="23"/>
      <c r="AE3" s="10">
        <f>IF(AND(LEN(Z3)&gt;0,MID(Z3,1,1)&lt;&gt;"-"),"1","0")+IF(AND(LEN(AA3)&gt;0,MID(AA3,1,1)&lt;&gt;"-"),"1","0")+IF(AND(LEN(AB3)&gt;0,MID(AB3,1,1)&lt;&gt;"-"),"1","0")+IF(AND(LEN(AC3)&gt;0,MID(AC3,1,1)&lt;&gt;"-"),"1","0")+IF(AND(LEN(AD3)&gt;0,MID(AD3,1,1)&lt;&gt;"-"),"1","0")</f>
        <v>0</v>
      </c>
      <c r="AF3" s="11" t="s">
        <v>6</v>
      </c>
      <c r="AG3" s="12">
        <f>IF(AND(LEN(Z3)&gt;0,MID(Z3,1,1)="-"),"1","0")+IF(AND(LEN(AA3)&gt;0,MID(AA3,1,1)="-"),"1","0")+IF(AND(LEN(AB3)&gt;0,MID(AB3,1,1)="-"),"1","0")+IF(AND(LEN(AC3)&gt;0,MID(AC3,1,1)="-"),"1","0")+IF(AND(LEN(AD3)&gt;0,MID(AD3,1,1)="-"),"1","0")</f>
        <v>0</v>
      </c>
      <c r="AI3" s="70"/>
      <c r="AJ3" s="70">
        <f>A4</f>
        <v>0</v>
      </c>
      <c r="AK3" s="71">
        <f>A10</f>
        <v>0</v>
      </c>
    </row>
    <row r="4" spans="1:54" ht="13.5" thickBot="1">
      <c r="A4" s="172"/>
      <c r="B4" s="24"/>
      <c r="C4" s="133">
        <v>1</v>
      </c>
      <c r="D4" s="33" t="str">
        <f>IF(COUNTIF(seznam!$A$2:$A$13,A4)=1,VLOOKUP(A4,seznam!$A$2:$C$13,3,FALSE),"------")</f>
        <v>------</v>
      </c>
      <c r="E4" s="239"/>
      <c r="F4" s="240"/>
      <c r="G4" s="241"/>
      <c r="H4" s="265"/>
      <c r="I4" s="154" t="s">
        <v>6</v>
      </c>
      <c r="J4" s="266"/>
      <c r="K4" s="236">
        <f>AE6</f>
        <v>0</v>
      </c>
      <c r="L4" s="154" t="s">
        <v>6</v>
      </c>
      <c r="M4" s="137">
        <f>AG6</f>
        <v>0</v>
      </c>
      <c r="N4" s="236">
        <f>AE3</f>
        <v>0</v>
      </c>
      <c r="O4" s="154" t="s">
        <v>6</v>
      </c>
      <c r="P4" s="137">
        <f>AG3</f>
        <v>0</v>
      </c>
      <c r="Q4" s="146">
        <f>H4+K4+N4</f>
        <v>0</v>
      </c>
      <c r="R4" s="146" t="s">
        <v>6</v>
      </c>
      <c r="S4" s="153">
        <f>J4+M4+P4</f>
        <v>0</v>
      </c>
      <c r="T4" s="271"/>
      <c r="U4" s="197"/>
      <c r="W4" s="41" t="str">
        <f>D7</f>
        <v>------</v>
      </c>
      <c r="X4" s="42" t="s">
        <v>8</v>
      </c>
      <c r="Y4" s="60" t="str">
        <f>D9</f>
        <v>------</v>
      </c>
      <c r="Z4" s="43"/>
      <c r="AA4" s="44"/>
      <c r="AB4" s="44"/>
      <c r="AC4" s="44"/>
      <c r="AD4" s="61"/>
      <c r="AE4" s="45">
        <f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46" t="s">
        <v>6</v>
      </c>
      <c r="AG4" s="47">
        <f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35"/>
      <c r="AI4" s="37"/>
      <c r="AJ4" s="37">
        <f>A6</f>
        <v>0</v>
      </c>
      <c r="AK4" s="50">
        <f>A8</f>
        <v>0</v>
      </c>
    </row>
    <row r="5" spans="1:54" ht="13.5" thickBot="1">
      <c r="A5" s="173"/>
      <c r="B5"/>
      <c r="C5" s="134"/>
      <c r="D5" s="31" t="str">
        <f>IF(COUNTIF(seznam!$A$2:$A$13,A4)=1,VLOOKUP(A4,seznam!$A$2:$C$13,2,FALSE),"------")</f>
        <v>------</v>
      </c>
      <c r="E5" s="143"/>
      <c r="F5" s="144"/>
      <c r="G5" s="145"/>
      <c r="H5" s="258"/>
      <c r="I5" s="130"/>
      <c r="J5" s="264"/>
      <c r="K5" s="151"/>
      <c r="L5" s="130"/>
      <c r="M5" s="138"/>
      <c r="N5" s="151"/>
      <c r="O5" s="130"/>
      <c r="P5" s="138"/>
      <c r="Q5" s="148"/>
      <c r="R5" s="148"/>
      <c r="S5" s="138"/>
      <c r="T5" s="260"/>
      <c r="U5" s="198"/>
      <c r="W5" s="4" t="s">
        <v>11</v>
      </c>
      <c r="AH5" s="35"/>
      <c r="AI5" s="37"/>
      <c r="AJ5" s="37"/>
      <c r="AK5" s="50"/>
    </row>
    <row r="6" spans="1:54">
      <c r="A6" s="172"/>
      <c r="B6" s="24"/>
      <c r="C6" s="139">
        <v>2</v>
      </c>
      <c r="D6" s="34" t="str">
        <f>IF(COUNTIF(seznam!$A$2:$A$13,A6)=1,VLOOKUP(A6,seznam!$A$2:$C$13,3,FALSE),"------")</f>
        <v>------</v>
      </c>
      <c r="E6" s="262"/>
      <c r="F6" s="129" t="s">
        <v>6</v>
      </c>
      <c r="G6" s="254"/>
      <c r="H6" s="175"/>
      <c r="I6" s="176"/>
      <c r="J6" s="183"/>
      <c r="K6" s="150">
        <f>AE4</f>
        <v>0</v>
      </c>
      <c r="L6" s="129" t="s">
        <v>6</v>
      </c>
      <c r="M6" s="147">
        <f>AG4</f>
        <v>0</v>
      </c>
      <c r="N6" s="150">
        <f>AE7</f>
        <v>0</v>
      </c>
      <c r="O6" s="129" t="s">
        <v>6</v>
      </c>
      <c r="P6" s="147">
        <f>AG7</f>
        <v>0</v>
      </c>
      <c r="Q6" s="129">
        <f>E6+K6+N6</f>
        <v>0</v>
      </c>
      <c r="R6" s="129" t="s">
        <v>6</v>
      </c>
      <c r="S6" s="147">
        <f>G6+M6+P6</f>
        <v>0</v>
      </c>
      <c r="T6" s="259"/>
      <c r="U6" s="199"/>
      <c r="W6" s="39" t="str">
        <f>D5</f>
        <v>------</v>
      </c>
      <c r="X6" s="6" t="s">
        <v>8</v>
      </c>
      <c r="Y6" s="5" t="str">
        <f>D9</f>
        <v>------</v>
      </c>
      <c r="Z6" s="20"/>
      <c r="AA6" s="21"/>
      <c r="AB6" s="21"/>
      <c r="AC6" s="21"/>
      <c r="AD6" s="23"/>
      <c r="AE6" s="10">
        <f>IF(AND(LEN(Z6)&gt;0,MID(Z6,1,1)&lt;&gt;"-"),"1","0")+IF(AND(LEN(AA6)&gt;0,MID(AA6,1,1)&lt;&gt;"-"),"1","0")+IF(AND(LEN(AB6)&gt;0,MID(AB6,1,1)&lt;&gt;"-"),"1","0")+IF(AND(LEN(AC6)&gt;0,MID(AC6,1,1)&lt;&gt;"-"),"1","0")+IF(AND(LEN(AD6)&gt;0,MID(AD6,1,1)&lt;&gt;"-"),"1","0")</f>
        <v>0</v>
      </c>
      <c r="AF6" s="11" t="s">
        <v>6</v>
      </c>
      <c r="AG6" s="12">
        <f>IF(AND(LEN(Z6)&gt;0,MID(Z6,1,1)="-"),"1","0")+IF(AND(LEN(AA6)&gt;0,MID(AA6,1,1)="-"),"1","0")+IF(AND(LEN(AB6)&gt;0,MID(AB6,1,1)="-"),"1","0")+IF(AND(LEN(AC6)&gt;0,MID(AC6,1,1)="-"),"1","0")+IF(AND(LEN(AD6)&gt;0,MID(AD6,1,1)="-"),"1","0")</f>
        <v>0</v>
      </c>
      <c r="AH6" s="35"/>
      <c r="AI6" s="37"/>
      <c r="AJ6" s="37">
        <f>A4</f>
        <v>0</v>
      </c>
      <c r="AK6" s="50">
        <f>A8</f>
        <v>0</v>
      </c>
    </row>
    <row r="7" spans="1:54" ht="13.5" thickBot="1">
      <c r="A7" s="173"/>
      <c r="B7"/>
      <c r="C7" s="134"/>
      <c r="D7" s="31" t="str">
        <f>IF(COUNTIF(seznam!$A$2:$A$13,A6)=1,VLOOKUP(A6,seznam!$A$2:$C$13,2,FALSE),"------")</f>
        <v>------</v>
      </c>
      <c r="E7" s="263"/>
      <c r="F7" s="130"/>
      <c r="G7" s="264"/>
      <c r="H7" s="184"/>
      <c r="I7" s="144"/>
      <c r="J7" s="145"/>
      <c r="K7" s="151"/>
      <c r="L7" s="130"/>
      <c r="M7" s="138"/>
      <c r="N7" s="151"/>
      <c r="O7" s="130"/>
      <c r="P7" s="138"/>
      <c r="Q7" s="148"/>
      <c r="R7" s="130"/>
      <c r="S7" s="138"/>
      <c r="T7" s="260"/>
      <c r="U7" s="198"/>
      <c r="W7" s="41" t="str">
        <f>D7</f>
        <v>------</v>
      </c>
      <c r="X7" s="42" t="s">
        <v>8</v>
      </c>
      <c r="Y7" s="60" t="str">
        <f>D11</f>
        <v>------</v>
      </c>
      <c r="Z7" s="43"/>
      <c r="AA7" s="44"/>
      <c r="AB7" s="44"/>
      <c r="AC7" s="44"/>
      <c r="AD7" s="61"/>
      <c r="AE7" s="45">
        <f>IF(AND(LEN(Z7)&gt;0,MID(Z7,1,1)&lt;&gt;"-"),"1","0")+IF(AND(LEN(AA7)&gt;0,MID(AA7,1,1)&lt;&gt;"-"),"1","0")+IF(AND(LEN(AB7)&gt;0,MID(AB7,1,1)&lt;&gt;"-"),"1","0")+IF(AND(LEN(AC7)&gt;0,MID(AC7,1,1)&lt;&gt;"-"),"1","0")+IF(AND(LEN(AD7)&gt;0,MID(AD7,1,1)&lt;&gt;"-"),"1","0")</f>
        <v>0</v>
      </c>
      <c r="AF7" s="46" t="s">
        <v>6</v>
      </c>
      <c r="AG7" s="47">
        <f>IF(AND(LEN(Z7)&gt;0,MID(Z7,1,1)="-"),"1","0")+IF(AND(LEN(AA7)&gt;0,MID(AA7,1,1)="-"),"1","0")+IF(AND(LEN(AB7)&gt;0,MID(AB7,1,1)="-"),"1","0")+IF(AND(LEN(AC7)&gt;0,MID(AC7,1,1)="-"),"1","0")+IF(AND(LEN(AD7)&gt;0,MID(AD7,1,1)="-"),"1","0")</f>
        <v>0</v>
      </c>
      <c r="AJ7" s="3">
        <f>A6</f>
        <v>0</v>
      </c>
      <c r="AK7" s="4">
        <f>A10</f>
        <v>0</v>
      </c>
    </row>
    <row r="8" spans="1:54">
      <c r="A8" s="172"/>
      <c r="B8" s="24"/>
      <c r="C8" s="139">
        <v>3</v>
      </c>
      <c r="D8" s="34" t="str">
        <f>IF(COUNTIF(seznam!$A$2:$A$13,A8)=1,VLOOKUP(A8,seznam!$A$2:$C$13,3,FALSE),"------")</f>
        <v>------</v>
      </c>
      <c r="E8" s="149">
        <f>AG6</f>
        <v>0</v>
      </c>
      <c r="F8" s="129" t="s">
        <v>6</v>
      </c>
      <c r="G8" s="147">
        <f>AE6</f>
        <v>0</v>
      </c>
      <c r="H8" s="150">
        <f>AG4</f>
        <v>0</v>
      </c>
      <c r="I8" s="129" t="s">
        <v>6</v>
      </c>
      <c r="J8" s="147">
        <f>AE4</f>
        <v>0</v>
      </c>
      <c r="K8" s="175"/>
      <c r="L8" s="176"/>
      <c r="M8" s="183"/>
      <c r="N8" s="252"/>
      <c r="O8" s="129" t="s">
        <v>6</v>
      </c>
      <c r="P8" s="254"/>
      <c r="Q8" s="129">
        <f>H8+E8+N8</f>
        <v>0</v>
      </c>
      <c r="R8" s="129" t="s">
        <v>6</v>
      </c>
      <c r="S8" s="147">
        <f>J8+G8+P8</f>
        <v>0</v>
      </c>
      <c r="T8" s="259"/>
      <c r="U8" s="199"/>
      <c r="W8" s="35"/>
      <c r="X8" s="37"/>
      <c r="Y8" s="37"/>
      <c r="Z8" s="50"/>
      <c r="AA8" s="2"/>
      <c r="AB8"/>
      <c r="AC8"/>
      <c r="AD8"/>
      <c r="AE8"/>
      <c r="AF8"/>
      <c r="AG8"/>
      <c r="AH8"/>
      <c r="AI8"/>
      <c r="AJ8"/>
      <c r="AK8"/>
      <c r="AL8"/>
      <c r="AO8" s="3"/>
      <c r="AP8" s="3"/>
      <c r="AQ8" s="4"/>
      <c r="AZ8"/>
      <c r="BA8"/>
      <c r="BB8"/>
    </row>
    <row r="9" spans="1:54">
      <c r="A9" s="173"/>
      <c r="B9"/>
      <c r="C9" s="134"/>
      <c r="D9" s="31" t="str">
        <f>IF(COUNTIF(seznam!$A$2:$A$13,A8)=1,VLOOKUP(A8,seznam!$A$2:$C$13,2,FALSE),"------")</f>
        <v>------</v>
      </c>
      <c r="E9" s="136"/>
      <c r="F9" s="130"/>
      <c r="G9" s="138"/>
      <c r="H9" s="151"/>
      <c r="I9" s="130"/>
      <c r="J9" s="138"/>
      <c r="K9" s="184"/>
      <c r="L9" s="144"/>
      <c r="M9" s="145"/>
      <c r="N9" s="258"/>
      <c r="O9" s="130"/>
      <c r="P9" s="256"/>
      <c r="Q9" s="148"/>
      <c r="R9" s="148"/>
      <c r="S9" s="138"/>
      <c r="T9" s="260"/>
      <c r="U9" s="200"/>
      <c r="W9" s="35"/>
      <c r="X9" s="37"/>
      <c r="Y9" s="37"/>
      <c r="Z9" s="50"/>
      <c r="AA9" s="2"/>
      <c r="AB9"/>
      <c r="AC9"/>
      <c r="AD9"/>
      <c r="AE9"/>
      <c r="AF9"/>
      <c r="AG9"/>
      <c r="AH9"/>
      <c r="AI9"/>
      <c r="AJ9"/>
      <c r="AK9"/>
      <c r="AL9"/>
      <c r="AO9" s="3"/>
      <c r="AP9" s="3"/>
      <c r="AQ9" s="4"/>
      <c r="AZ9"/>
      <c r="BA9"/>
      <c r="BB9"/>
    </row>
    <row r="10" spans="1:54">
      <c r="A10" s="172"/>
      <c r="B10" s="24"/>
      <c r="C10" s="139">
        <v>4</v>
      </c>
      <c r="D10" s="34" t="str">
        <f>IF(COUNTIF(seznam!$A$2:$A$13,A10)=1,VLOOKUP(A10,seznam!$A$2:$C$13,3,FALSE),"------")</f>
        <v>------</v>
      </c>
      <c r="E10" s="149">
        <f>AG3</f>
        <v>0</v>
      </c>
      <c r="F10" s="129" t="s">
        <v>6</v>
      </c>
      <c r="G10" s="147">
        <f>AE3</f>
        <v>0</v>
      </c>
      <c r="H10" s="150">
        <f>AG7</f>
        <v>0</v>
      </c>
      <c r="I10" s="129" t="s">
        <v>6</v>
      </c>
      <c r="J10" s="147">
        <f>AE7</f>
        <v>0</v>
      </c>
      <c r="K10" s="252"/>
      <c r="L10" s="129" t="s">
        <v>6</v>
      </c>
      <c r="M10" s="254"/>
      <c r="N10" s="175"/>
      <c r="O10" s="176"/>
      <c r="P10" s="183"/>
      <c r="Q10" s="129">
        <f>H10+K10+E10</f>
        <v>0</v>
      </c>
      <c r="R10" s="129" t="s">
        <v>6</v>
      </c>
      <c r="S10" s="147">
        <f>J10+M10+G10</f>
        <v>0</v>
      </c>
      <c r="T10" s="259"/>
      <c r="U10" s="199"/>
      <c r="W10" s="35"/>
      <c r="X10" s="37"/>
      <c r="Y10" s="37"/>
      <c r="Z10" s="50"/>
      <c r="AA10" s="2"/>
      <c r="AB10"/>
      <c r="AC10"/>
      <c r="AD10"/>
      <c r="AE10"/>
      <c r="AF10"/>
      <c r="AG10"/>
      <c r="AH10"/>
      <c r="AI10"/>
      <c r="AJ10"/>
      <c r="AK10"/>
      <c r="AL10"/>
      <c r="AO10" s="3"/>
      <c r="AP10" s="3"/>
      <c r="AQ10" s="4"/>
      <c r="AZ10"/>
      <c r="BA10"/>
      <c r="BB10"/>
    </row>
    <row r="11" spans="1:54" ht="13.5" thickBot="1">
      <c r="A11" s="173"/>
      <c r="B11"/>
      <c r="C11" s="174"/>
      <c r="D11" s="32" t="str">
        <f>IF(COUNTIF(seznam!$A$2:$A$13,A10)=1,VLOOKUP(A10,seznam!$A$2:$C$13,2,FALSE),"------")</f>
        <v>------</v>
      </c>
      <c r="E11" s="161"/>
      <c r="F11" s="155"/>
      <c r="G11" s="163"/>
      <c r="H11" s="158"/>
      <c r="I11" s="155"/>
      <c r="J11" s="163"/>
      <c r="K11" s="253"/>
      <c r="L11" s="155"/>
      <c r="M11" s="255"/>
      <c r="N11" s="178"/>
      <c r="O11" s="179"/>
      <c r="P11" s="257"/>
      <c r="Q11" s="181"/>
      <c r="R11" s="155"/>
      <c r="S11" s="163"/>
      <c r="T11" s="261"/>
      <c r="U11" s="201"/>
      <c r="W11" s="267" t="s">
        <v>15</v>
      </c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</row>
    <row r="12" spans="1:54" ht="13.5" thickBot="1">
      <c r="A12"/>
      <c r="B12"/>
      <c r="C12"/>
      <c r="D12" s="2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35"/>
      <c r="AI12" s="37"/>
      <c r="AJ12" s="37"/>
      <c r="AK12" s="50"/>
    </row>
    <row r="13" spans="1:54" ht="13.5" thickBot="1">
      <c r="C13" s="188" t="s">
        <v>15</v>
      </c>
      <c r="D13" s="189"/>
      <c r="E13" s="188">
        <v>1</v>
      </c>
      <c r="F13" s="166"/>
      <c r="G13" s="166"/>
      <c r="H13" s="169">
        <v>2</v>
      </c>
      <c r="I13" s="166"/>
      <c r="J13" s="166"/>
      <c r="K13" s="169">
        <v>3</v>
      </c>
      <c r="L13" s="166"/>
      <c r="M13" s="166"/>
      <c r="N13" s="169">
        <v>4</v>
      </c>
      <c r="O13" s="166"/>
      <c r="P13" s="166"/>
      <c r="Q13" s="165" t="s">
        <v>3</v>
      </c>
      <c r="R13" s="166"/>
      <c r="S13" s="166"/>
      <c r="T13" s="169" t="s">
        <v>4</v>
      </c>
      <c r="U13" s="170" t="s">
        <v>5</v>
      </c>
      <c r="W13" s="4" t="s">
        <v>10</v>
      </c>
      <c r="AH13" s="35"/>
      <c r="AI13" s="37"/>
      <c r="AJ13" s="37"/>
      <c r="AK13" s="50"/>
    </row>
    <row r="14" spans="1:54" ht="13.5" thickBot="1">
      <c r="A14"/>
      <c r="B14"/>
      <c r="C14" s="190"/>
      <c r="D14" s="171"/>
      <c r="E14" s="190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7"/>
      <c r="R14" s="168"/>
      <c r="S14" s="168"/>
      <c r="T14" s="168"/>
      <c r="U14" s="171"/>
      <c r="W14" s="39" t="str">
        <f>D16</f>
        <v>------</v>
      </c>
      <c r="X14" s="6" t="s">
        <v>8</v>
      </c>
      <c r="Y14" s="5" t="str">
        <f>D22</f>
        <v>------</v>
      </c>
      <c r="Z14" s="20"/>
      <c r="AA14" s="21"/>
      <c r="AB14" s="21"/>
      <c r="AC14" s="21"/>
      <c r="AD14" s="23"/>
      <c r="AE14" s="10">
        <f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35"/>
      <c r="AI14" s="37"/>
      <c r="AJ14" s="70">
        <f>A15</f>
        <v>0</v>
      </c>
      <c r="AK14" s="71">
        <f>A21</f>
        <v>0</v>
      </c>
    </row>
    <row r="15" spans="1:54" ht="13.5" thickBot="1">
      <c r="A15" s="172"/>
      <c r="B15" s="24"/>
      <c r="C15" s="139">
        <v>1</v>
      </c>
      <c r="D15" s="29" t="str">
        <f>IF(COUNTIF(seznam!$A$2:$A$13,A15)=1,VLOOKUP(A15,seznam!$A$2:$C$13,3,FALSE),"------")</f>
        <v>------</v>
      </c>
      <c r="E15" s="239"/>
      <c r="F15" s="240"/>
      <c r="G15" s="241"/>
      <c r="H15" s="265"/>
      <c r="I15" s="154" t="s">
        <v>6</v>
      </c>
      <c r="J15" s="266"/>
      <c r="K15" s="236">
        <f>AE17</f>
        <v>0</v>
      </c>
      <c r="L15" s="154" t="s">
        <v>6</v>
      </c>
      <c r="M15" s="137">
        <f>AG17</f>
        <v>0</v>
      </c>
      <c r="N15" s="236">
        <f>AE14</f>
        <v>0</v>
      </c>
      <c r="O15" s="154" t="s">
        <v>6</v>
      </c>
      <c r="P15" s="137">
        <f>AG14</f>
        <v>0</v>
      </c>
      <c r="Q15" s="146">
        <f>H15+K15+N15</f>
        <v>0</v>
      </c>
      <c r="R15" s="146" t="s">
        <v>6</v>
      </c>
      <c r="S15" s="153">
        <f>J15+M15+P15</f>
        <v>0</v>
      </c>
      <c r="T15" s="259"/>
      <c r="U15" s="199"/>
      <c r="W15" s="41" t="str">
        <f>D18</f>
        <v>------</v>
      </c>
      <c r="X15" s="42" t="s">
        <v>8</v>
      </c>
      <c r="Y15" s="60" t="str">
        <f>D20</f>
        <v>------</v>
      </c>
      <c r="Z15" s="43"/>
      <c r="AA15" s="44"/>
      <c r="AB15" s="44"/>
      <c r="AC15" s="44"/>
      <c r="AD15" s="61"/>
      <c r="AE15" s="45">
        <f>IF(AND(LEN(Z15)&gt;0,MID(Z15,1,1)&lt;&gt;"-"),"1","0")+IF(AND(LEN(AA15)&gt;0,MID(AA15,1,1)&lt;&gt;"-"),"1","0")+IF(AND(LEN(AB15)&gt;0,MID(AB15,1,1)&lt;&gt;"-"),"1","0")+IF(AND(LEN(AC15)&gt;0,MID(AC15,1,1)&lt;&gt;"-"),"1","0")+IF(AND(LEN(AD15)&gt;0,MID(AD15,1,1)&lt;&gt;"-"),"1","0")</f>
        <v>0</v>
      </c>
      <c r="AF15" s="46" t="s">
        <v>6</v>
      </c>
      <c r="AG15" s="47">
        <f>IF(AND(LEN(Z15)&gt;0,MID(Z15,1,1)="-"),"1","0")+IF(AND(LEN(AA15)&gt;0,MID(AA15,1,1)="-"),"1","0")+IF(AND(LEN(AB15)&gt;0,MID(AB15,1,1)="-"),"1","0")+IF(AND(LEN(AC15)&gt;0,MID(AC15,1,1)="-"),"1","0")+IF(AND(LEN(AD15)&gt;0,MID(AD15,1,1)="-"),"1","0")</f>
        <v>0</v>
      </c>
      <c r="AH15" s="35"/>
      <c r="AI15" s="37"/>
      <c r="AJ15" s="37">
        <f>A17</f>
        <v>0</v>
      </c>
      <c r="AK15" s="50">
        <f>A19</f>
        <v>0</v>
      </c>
    </row>
    <row r="16" spans="1:54" ht="13.5" thickBot="1">
      <c r="A16" s="173"/>
      <c r="B16"/>
      <c r="C16" s="134"/>
      <c r="D16" s="30" t="str">
        <f>IF(COUNTIF(seznam!$A$2:$A$13,A15)=1,VLOOKUP(A15,seznam!$A$2:$C$13,2,FALSE),"------")</f>
        <v>------</v>
      </c>
      <c r="E16" s="143"/>
      <c r="F16" s="144"/>
      <c r="G16" s="145"/>
      <c r="H16" s="258"/>
      <c r="I16" s="130"/>
      <c r="J16" s="264"/>
      <c r="K16" s="151"/>
      <c r="L16" s="130"/>
      <c r="M16" s="138"/>
      <c r="N16" s="151"/>
      <c r="O16" s="130"/>
      <c r="P16" s="138"/>
      <c r="Q16" s="148"/>
      <c r="R16" s="148"/>
      <c r="S16" s="138"/>
      <c r="T16" s="260"/>
      <c r="U16" s="198"/>
      <c r="W16" s="4" t="s">
        <v>11</v>
      </c>
      <c r="AJ16" s="37"/>
      <c r="AK16" s="50"/>
    </row>
    <row r="17" spans="1:54">
      <c r="A17" s="172"/>
      <c r="B17" s="24"/>
      <c r="C17" s="139">
        <v>2</v>
      </c>
      <c r="D17" s="29" t="str">
        <f>IF(COUNTIF(seznam!$A$2:$A$13,A17)=1,VLOOKUP(A17,seznam!$A$2:$C$13,3,FALSE),"------")</f>
        <v>------</v>
      </c>
      <c r="E17" s="262"/>
      <c r="F17" s="129" t="s">
        <v>6</v>
      </c>
      <c r="G17" s="254"/>
      <c r="H17" s="175"/>
      <c r="I17" s="176"/>
      <c r="J17" s="183"/>
      <c r="K17" s="150">
        <f>AE15</f>
        <v>0</v>
      </c>
      <c r="L17" s="129" t="s">
        <v>6</v>
      </c>
      <c r="M17" s="147">
        <f>AG15</f>
        <v>0</v>
      </c>
      <c r="N17" s="150">
        <f>AE18</f>
        <v>0</v>
      </c>
      <c r="O17" s="129" t="s">
        <v>6</v>
      </c>
      <c r="P17" s="147">
        <f>AG18</f>
        <v>0</v>
      </c>
      <c r="Q17" s="129">
        <f>E17+K17+N17</f>
        <v>0</v>
      </c>
      <c r="R17" s="129" t="s">
        <v>6</v>
      </c>
      <c r="S17" s="147">
        <f>G17+M17+P17</f>
        <v>0</v>
      </c>
      <c r="T17" s="259"/>
      <c r="U17" s="199"/>
      <c r="W17" s="39" t="str">
        <f>D16</f>
        <v>------</v>
      </c>
      <c r="X17" s="6" t="s">
        <v>8</v>
      </c>
      <c r="Y17" s="5" t="str">
        <f>D20</f>
        <v>------</v>
      </c>
      <c r="Z17" s="20"/>
      <c r="AA17" s="21"/>
      <c r="AB17" s="21"/>
      <c r="AC17" s="21"/>
      <c r="AD17" s="23"/>
      <c r="AE17" s="10">
        <f>IF(AND(LEN(Z17)&gt;0,MID(Z17,1,1)&lt;&gt;"-"),"1","0")+IF(AND(LEN(AA17)&gt;0,MID(AA17,1,1)&lt;&gt;"-"),"1","0")+IF(AND(LEN(AB17)&gt;0,MID(AB17,1,1)&lt;&gt;"-"),"1","0")+IF(AND(LEN(AC17)&gt;0,MID(AC17,1,1)&lt;&gt;"-"),"1","0")+IF(AND(LEN(AD17)&gt;0,MID(AD17,1,1)&lt;&gt;"-"),"1","0")</f>
        <v>0</v>
      </c>
      <c r="AF17" s="11" t="s">
        <v>6</v>
      </c>
      <c r="AG17" s="12">
        <f>IF(AND(LEN(Z17)&gt;0,MID(Z17,1,1)="-"),"1","0")+IF(AND(LEN(AA17)&gt;0,MID(AA17,1,1)="-"),"1","0")+IF(AND(LEN(AB17)&gt;0,MID(AB17,1,1)="-"),"1","0")+IF(AND(LEN(AC17)&gt;0,MID(AC17,1,1)="-"),"1","0")+IF(AND(LEN(AD17)&gt;0,MID(AD17,1,1)="-"),"1","0")</f>
        <v>0</v>
      </c>
      <c r="AJ17" s="37">
        <f>A15</f>
        <v>0</v>
      </c>
      <c r="AK17" s="50">
        <f>A19</f>
        <v>0</v>
      </c>
    </row>
    <row r="18" spans="1:54" ht="13.5" thickBot="1">
      <c r="A18" s="173"/>
      <c r="B18"/>
      <c r="C18" s="134"/>
      <c r="D18" s="30" t="str">
        <f>IF(COUNTIF(seznam!$A$2:$A$13,A17)=1,VLOOKUP(A17,seznam!$A$2:$C$13,2,FALSE),"------")</f>
        <v>------</v>
      </c>
      <c r="E18" s="263"/>
      <c r="F18" s="130"/>
      <c r="G18" s="264"/>
      <c r="H18" s="184"/>
      <c r="I18" s="144"/>
      <c r="J18" s="145"/>
      <c r="K18" s="151"/>
      <c r="L18" s="130"/>
      <c r="M18" s="138"/>
      <c r="N18" s="151"/>
      <c r="O18" s="130"/>
      <c r="P18" s="138"/>
      <c r="Q18" s="148"/>
      <c r="R18" s="130"/>
      <c r="S18" s="138"/>
      <c r="T18" s="260"/>
      <c r="U18" s="198"/>
      <c r="W18" s="41" t="str">
        <f>D18</f>
        <v>------</v>
      </c>
      <c r="X18" s="42" t="s">
        <v>8</v>
      </c>
      <c r="Y18" s="60" t="str">
        <f>D22</f>
        <v>------</v>
      </c>
      <c r="Z18" s="43"/>
      <c r="AA18" s="44"/>
      <c r="AB18" s="44"/>
      <c r="AC18" s="44"/>
      <c r="AD18" s="61"/>
      <c r="AE18" s="45">
        <f>IF(AND(LEN(Z18)&gt;0,MID(Z18,1,1)&lt;&gt;"-"),"1","0")+IF(AND(LEN(AA18)&gt;0,MID(AA18,1,1)&lt;&gt;"-"),"1","0")+IF(AND(LEN(AB18)&gt;0,MID(AB18,1,1)&lt;&gt;"-"),"1","0")+IF(AND(LEN(AC18)&gt;0,MID(AC18,1,1)&lt;&gt;"-"),"1","0")+IF(AND(LEN(AD18)&gt;0,MID(AD18,1,1)&lt;&gt;"-"),"1","0")</f>
        <v>0</v>
      </c>
      <c r="AF18" s="46" t="s">
        <v>6</v>
      </c>
      <c r="AG18" s="47">
        <f>IF(AND(LEN(Z18)&gt;0,MID(Z18,1,1)="-"),"1","0")+IF(AND(LEN(AA18)&gt;0,MID(AA18,1,1)="-"),"1","0")+IF(AND(LEN(AB18)&gt;0,MID(AB18,1,1)="-"),"1","0")+IF(AND(LEN(AC18)&gt;0,MID(AC18,1,1)="-"),"1","0")+IF(AND(LEN(AD18)&gt;0,MID(AD18,1,1)="-"),"1","0")</f>
        <v>0</v>
      </c>
      <c r="AJ18" s="3">
        <f>A17</f>
        <v>0</v>
      </c>
      <c r="AK18" s="4">
        <f>A21</f>
        <v>0</v>
      </c>
    </row>
    <row r="19" spans="1:54">
      <c r="A19" s="172"/>
      <c r="B19" s="24"/>
      <c r="C19" s="139">
        <v>3</v>
      </c>
      <c r="D19" s="29" t="str">
        <f>IF(COUNTIF(seznam!$A$2:$A$13,A19)=1,VLOOKUP(A19,seznam!$A$2:$C$13,3,FALSE),"------")</f>
        <v>------</v>
      </c>
      <c r="E19" s="149">
        <f>AG17</f>
        <v>0</v>
      </c>
      <c r="F19" s="129" t="s">
        <v>6</v>
      </c>
      <c r="G19" s="147">
        <f>AE17</f>
        <v>0</v>
      </c>
      <c r="H19" s="150">
        <f>AG15</f>
        <v>0</v>
      </c>
      <c r="I19" s="129" t="s">
        <v>6</v>
      </c>
      <c r="J19" s="147">
        <f>AE15</f>
        <v>0</v>
      </c>
      <c r="K19" s="175"/>
      <c r="L19" s="176"/>
      <c r="M19" s="183"/>
      <c r="N19" s="252"/>
      <c r="O19" s="129" t="s">
        <v>6</v>
      </c>
      <c r="P19" s="254"/>
      <c r="Q19" s="129">
        <f>H19+E19+N19</f>
        <v>0</v>
      </c>
      <c r="R19" s="129" t="s">
        <v>6</v>
      </c>
      <c r="S19" s="147">
        <f>J19+G19+P19</f>
        <v>0</v>
      </c>
      <c r="T19" s="259"/>
      <c r="U19" s="199"/>
      <c r="W19" s="9"/>
      <c r="X19" s="38"/>
      <c r="Y19" s="38"/>
      <c r="Z19" s="49"/>
      <c r="AA19" s="2"/>
      <c r="AB19"/>
      <c r="AC19"/>
      <c r="AD19"/>
      <c r="AE19"/>
      <c r="AF19"/>
      <c r="AG19"/>
      <c r="AH19"/>
      <c r="AI19"/>
      <c r="AJ19"/>
      <c r="AK19"/>
      <c r="AL19"/>
      <c r="AO19" s="3"/>
      <c r="AP19" s="3"/>
      <c r="AQ19" s="4"/>
      <c r="AZ19"/>
      <c r="BA19"/>
      <c r="BB19"/>
    </row>
    <row r="20" spans="1:54">
      <c r="A20" s="173"/>
      <c r="B20"/>
      <c r="C20" s="134"/>
      <c r="D20" s="30" t="str">
        <f>IF(COUNTIF(seznam!$A$2:$A$13,A19)=1,VLOOKUP(A19,seznam!$A$2:$C$13,2,FALSE),"------")</f>
        <v>------</v>
      </c>
      <c r="E20" s="136"/>
      <c r="F20" s="130"/>
      <c r="G20" s="138"/>
      <c r="H20" s="151"/>
      <c r="I20" s="130"/>
      <c r="J20" s="138"/>
      <c r="K20" s="184"/>
      <c r="L20" s="144"/>
      <c r="M20" s="145"/>
      <c r="N20" s="258"/>
      <c r="O20" s="130"/>
      <c r="P20" s="256"/>
      <c r="Q20" s="148"/>
      <c r="R20" s="148"/>
      <c r="S20" s="138"/>
      <c r="T20" s="260"/>
      <c r="U20" s="200"/>
      <c r="W20" s="35"/>
      <c r="X20" s="37"/>
      <c r="Y20" s="37"/>
      <c r="Z20" s="50"/>
      <c r="AA20" s="2"/>
      <c r="AB20"/>
      <c r="AC20"/>
      <c r="AD20"/>
      <c r="AE20"/>
      <c r="AF20"/>
      <c r="AG20"/>
      <c r="AH20"/>
      <c r="AI20"/>
      <c r="AJ20"/>
      <c r="AK20"/>
      <c r="AL20"/>
      <c r="AO20" s="3"/>
      <c r="AP20" s="3"/>
      <c r="AQ20" s="4"/>
      <c r="AZ20"/>
      <c r="BA20"/>
      <c r="BB20"/>
    </row>
    <row r="21" spans="1:54">
      <c r="A21" s="172"/>
      <c r="B21" s="24"/>
      <c r="C21" s="139">
        <v>4</v>
      </c>
      <c r="D21" s="29" t="str">
        <f>IF(COUNTIF(seznam!$A$2:$A$13,A21)=1,VLOOKUP(A21,seznam!$A$2:$C$13,3,FALSE),"------")</f>
        <v>------</v>
      </c>
      <c r="E21" s="149">
        <f>AG14</f>
        <v>0</v>
      </c>
      <c r="F21" s="129" t="s">
        <v>6</v>
      </c>
      <c r="G21" s="147">
        <f>AE14</f>
        <v>0</v>
      </c>
      <c r="H21" s="150">
        <f>AG18</f>
        <v>0</v>
      </c>
      <c r="I21" s="129" t="s">
        <v>6</v>
      </c>
      <c r="J21" s="147">
        <f>AE18</f>
        <v>0</v>
      </c>
      <c r="K21" s="252"/>
      <c r="L21" s="129" t="s">
        <v>6</v>
      </c>
      <c r="M21" s="254"/>
      <c r="N21" s="175"/>
      <c r="O21" s="176"/>
      <c r="P21" s="183"/>
      <c r="Q21" s="129">
        <f>H21+K21+E21</f>
        <v>0</v>
      </c>
      <c r="R21" s="129" t="s">
        <v>6</v>
      </c>
      <c r="S21" s="147">
        <f>J21+M21+G21</f>
        <v>0</v>
      </c>
      <c r="T21" s="259"/>
      <c r="U21" s="199"/>
      <c r="W21" s="35"/>
      <c r="X21" s="37"/>
      <c r="Y21" s="37"/>
      <c r="Z21" s="50"/>
      <c r="AA21" s="2"/>
      <c r="AB21"/>
      <c r="AC21"/>
      <c r="AD21"/>
      <c r="AE21"/>
      <c r="AF21"/>
      <c r="AG21"/>
      <c r="AH21"/>
      <c r="AI21"/>
      <c r="AJ21"/>
      <c r="AK21"/>
      <c r="AL21"/>
      <c r="AO21" s="3"/>
      <c r="AP21" s="3"/>
      <c r="AQ21" s="4"/>
      <c r="AZ21"/>
      <c r="BA21"/>
      <c r="BB21"/>
    </row>
    <row r="22" spans="1:54" ht="13.5" thickBot="1">
      <c r="A22" s="173"/>
      <c r="B22"/>
      <c r="C22" s="174"/>
      <c r="D22" s="18" t="str">
        <f>IF(COUNTIF(seznam!$A$2:$A$13,A21)=1,VLOOKUP(A21,seznam!$A$2:$C$13,2,FALSE),"------")</f>
        <v>------</v>
      </c>
      <c r="E22" s="161"/>
      <c r="F22" s="155"/>
      <c r="G22" s="163"/>
      <c r="H22" s="158"/>
      <c r="I22" s="155"/>
      <c r="J22" s="163"/>
      <c r="K22" s="253"/>
      <c r="L22" s="155"/>
      <c r="M22" s="255"/>
      <c r="N22" s="178"/>
      <c r="O22" s="179"/>
      <c r="P22" s="257"/>
      <c r="Q22" s="181"/>
      <c r="R22" s="155"/>
      <c r="S22" s="163"/>
      <c r="T22" s="261"/>
      <c r="U22" s="201"/>
      <c r="W22" s="267" t="s">
        <v>17</v>
      </c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35"/>
      <c r="AI22" s="37"/>
      <c r="AJ22" s="37"/>
      <c r="AK22" s="50"/>
    </row>
    <row r="23" spans="1:54" ht="13.5" thickBot="1"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</row>
    <row r="24" spans="1:54" ht="13.5" thickBot="1">
      <c r="C24" s="188" t="s">
        <v>17</v>
      </c>
      <c r="D24" s="189"/>
      <c r="E24" s="188">
        <v>1</v>
      </c>
      <c r="F24" s="166"/>
      <c r="G24" s="166"/>
      <c r="H24" s="169">
        <v>2</v>
      </c>
      <c r="I24" s="166"/>
      <c r="J24" s="166"/>
      <c r="K24" s="169">
        <v>3</v>
      </c>
      <c r="L24" s="166"/>
      <c r="M24" s="166"/>
      <c r="N24" s="169">
        <v>4</v>
      </c>
      <c r="O24" s="166"/>
      <c r="P24" s="166"/>
      <c r="Q24" s="165" t="s">
        <v>3</v>
      </c>
      <c r="R24" s="166"/>
      <c r="S24" s="166"/>
      <c r="T24" s="169" t="s">
        <v>4</v>
      </c>
      <c r="U24" s="170" t="s">
        <v>5</v>
      </c>
      <c r="W24" s="4" t="s">
        <v>10</v>
      </c>
      <c r="AH24" s="35"/>
      <c r="AI24" s="37"/>
      <c r="AJ24" s="37"/>
      <c r="AK24" s="50"/>
    </row>
    <row r="25" spans="1:54" ht="13.5" thickBot="1">
      <c r="A25"/>
      <c r="B25"/>
      <c r="C25" s="190"/>
      <c r="D25" s="171"/>
      <c r="E25" s="190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7"/>
      <c r="R25" s="168"/>
      <c r="S25" s="168"/>
      <c r="T25" s="168"/>
      <c r="U25" s="171"/>
      <c r="W25" s="39" t="str">
        <f>D27</f>
        <v>------</v>
      </c>
      <c r="X25" s="6" t="s">
        <v>8</v>
      </c>
      <c r="Y25" s="5" t="str">
        <f>D33</f>
        <v>------</v>
      </c>
      <c r="Z25" s="20"/>
      <c r="AA25" s="21"/>
      <c r="AB25" s="21"/>
      <c r="AC25" s="21"/>
      <c r="AD25" s="23"/>
      <c r="AE25" s="10">
        <f>IF(AND(LEN(Z25)&gt;0,MID(Z25,1,1)&lt;&gt;"-"),"1","0")+IF(AND(LEN(AA25)&gt;0,MID(AA25,1,1)&lt;&gt;"-"),"1","0")+IF(AND(LEN(AB25)&gt;0,MID(AB25,1,1)&lt;&gt;"-"),"1","0")+IF(AND(LEN(AC25)&gt;0,MID(AC25,1,1)&lt;&gt;"-"),"1","0")+IF(AND(LEN(AD25)&gt;0,MID(AD25,1,1)&lt;&gt;"-"),"1","0")</f>
        <v>0</v>
      </c>
      <c r="AF25" s="11" t="s">
        <v>6</v>
      </c>
      <c r="AG25" s="12">
        <f>IF(AND(LEN(Z25)&gt;0,MID(Z25,1,1)="-"),"1","0")+IF(AND(LEN(AA25)&gt;0,MID(AA25,1,1)="-"),"1","0")+IF(AND(LEN(AB25)&gt;0,MID(AB25,1,1)="-"),"1","0")+IF(AND(LEN(AC25)&gt;0,MID(AC25,1,1)="-"),"1","0")+IF(AND(LEN(AD25)&gt;0,MID(AD25,1,1)="-"),"1","0")</f>
        <v>0</v>
      </c>
      <c r="AH25" s="35"/>
      <c r="AI25" s="37"/>
      <c r="AJ25" s="70">
        <f>A26</f>
        <v>0</v>
      </c>
      <c r="AK25" s="71">
        <f>A32</f>
        <v>0</v>
      </c>
    </row>
    <row r="26" spans="1:54" ht="13.5" thickBot="1">
      <c r="A26" s="172"/>
      <c r="B26" s="24"/>
      <c r="C26" s="139">
        <v>1</v>
      </c>
      <c r="D26" s="29" t="str">
        <f>IF(COUNTIF(seznam!$A$2:$A$13,A26)=1,VLOOKUP(A26,seznam!$A$2:$C$13,3,FALSE),"------")</f>
        <v>------</v>
      </c>
      <c r="E26" s="239"/>
      <c r="F26" s="240"/>
      <c r="G26" s="241"/>
      <c r="H26" s="265"/>
      <c r="I26" s="154" t="s">
        <v>6</v>
      </c>
      <c r="J26" s="266"/>
      <c r="K26" s="236">
        <f>AE28</f>
        <v>0</v>
      </c>
      <c r="L26" s="154" t="s">
        <v>6</v>
      </c>
      <c r="M26" s="137">
        <f>AG28</f>
        <v>0</v>
      </c>
      <c r="N26" s="236">
        <f>AE25</f>
        <v>0</v>
      </c>
      <c r="O26" s="154" t="s">
        <v>6</v>
      </c>
      <c r="P26" s="137">
        <f>AG25</f>
        <v>0</v>
      </c>
      <c r="Q26" s="146">
        <f>H26+K26+N26</f>
        <v>0</v>
      </c>
      <c r="R26" s="146" t="s">
        <v>6</v>
      </c>
      <c r="S26" s="153">
        <f>J26+M26+P26</f>
        <v>0</v>
      </c>
      <c r="T26" s="259"/>
      <c r="U26" s="199"/>
      <c r="W26" s="41" t="str">
        <f>D29</f>
        <v>------</v>
      </c>
      <c r="X26" s="42" t="s">
        <v>8</v>
      </c>
      <c r="Y26" s="60" t="str">
        <f>D31</f>
        <v>------</v>
      </c>
      <c r="Z26" s="43"/>
      <c r="AA26" s="44"/>
      <c r="AB26" s="44"/>
      <c r="AC26" s="44"/>
      <c r="AD26" s="61"/>
      <c r="AE26" s="45">
        <f>IF(AND(LEN(Z26)&gt;0,MID(Z26,1,1)&lt;&gt;"-"),"1","0")+IF(AND(LEN(AA26)&gt;0,MID(AA26,1,1)&lt;&gt;"-"),"1","0")+IF(AND(LEN(AB26)&gt;0,MID(AB26,1,1)&lt;&gt;"-"),"1","0")+IF(AND(LEN(AC26)&gt;0,MID(AC26,1,1)&lt;&gt;"-"),"1","0")+IF(AND(LEN(AD26)&gt;0,MID(AD26,1,1)&lt;&gt;"-"),"1","0")</f>
        <v>0</v>
      </c>
      <c r="AF26" s="46" t="s">
        <v>6</v>
      </c>
      <c r="AG26" s="47">
        <f>IF(AND(LEN(Z26)&gt;0,MID(Z26,1,1)="-"),"1","0")+IF(AND(LEN(AA26)&gt;0,MID(AA26,1,1)="-"),"1","0")+IF(AND(LEN(AB26)&gt;0,MID(AB26,1,1)="-"),"1","0")+IF(AND(LEN(AC26)&gt;0,MID(AC26,1,1)="-"),"1","0")+IF(AND(LEN(AD26)&gt;0,MID(AD26,1,1)="-"),"1","0")</f>
        <v>0</v>
      </c>
      <c r="AH26" s="35"/>
      <c r="AI26" s="37"/>
      <c r="AJ26" s="37">
        <f>A28</f>
        <v>0</v>
      </c>
      <c r="AK26" s="50">
        <f>A30</f>
        <v>0</v>
      </c>
    </row>
    <row r="27" spans="1:54" ht="13.5" thickBot="1">
      <c r="A27" s="173"/>
      <c r="B27"/>
      <c r="C27" s="134"/>
      <c r="D27" s="30" t="str">
        <f>IF(COUNTIF(seznam!$A$2:$A$13,A26)=1,VLOOKUP(A26,seznam!$A$2:$C$13,2,FALSE),"------")</f>
        <v>------</v>
      </c>
      <c r="E27" s="143"/>
      <c r="F27" s="144"/>
      <c r="G27" s="145"/>
      <c r="H27" s="258"/>
      <c r="I27" s="130"/>
      <c r="J27" s="264"/>
      <c r="K27" s="151"/>
      <c r="L27" s="130"/>
      <c r="M27" s="138"/>
      <c r="N27" s="151"/>
      <c r="O27" s="130"/>
      <c r="P27" s="138"/>
      <c r="Q27" s="148"/>
      <c r="R27" s="148"/>
      <c r="S27" s="138"/>
      <c r="T27" s="260"/>
      <c r="U27" s="198"/>
      <c r="W27" s="4" t="s">
        <v>11</v>
      </c>
      <c r="AJ27" s="37"/>
      <c r="AK27" s="50"/>
    </row>
    <row r="28" spans="1:54">
      <c r="A28" s="172"/>
      <c r="B28" s="24"/>
      <c r="C28" s="139">
        <v>2</v>
      </c>
      <c r="D28" s="29" t="str">
        <f>IF(COUNTIF(seznam!$A$2:$A$13,A28)=1,VLOOKUP(A28,seznam!$A$2:$C$13,3,FALSE),"------")</f>
        <v>------</v>
      </c>
      <c r="E28" s="262"/>
      <c r="F28" s="129" t="s">
        <v>6</v>
      </c>
      <c r="G28" s="254"/>
      <c r="H28" s="175"/>
      <c r="I28" s="176"/>
      <c r="J28" s="183"/>
      <c r="K28" s="150">
        <f>AE26</f>
        <v>0</v>
      </c>
      <c r="L28" s="129" t="s">
        <v>6</v>
      </c>
      <c r="M28" s="147">
        <f>AG26</f>
        <v>0</v>
      </c>
      <c r="N28" s="150">
        <f>AE29</f>
        <v>0</v>
      </c>
      <c r="O28" s="129" t="s">
        <v>6</v>
      </c>
      <c r="P28" s="147">
        <f>AG29</f>
        <v>0</v>
      </c>
      <c r="Q28" s="129">
        <f>E28+K28+N28</f>
        <v>0</v>
      </c>
      <c r="R28" s="129" t="s">
        <v>6</v>
      </c>
      <c r="S28" s="147">
        <f>G28+M28+P28</f>
        <v>0</v>
      </c>
      <c r="T28" s="259"/>
      <c r="U28" s="199"/>
      <c r="W28" s="39" t="str">
        <f>D27</f>
        <v>------</v>
      </c>
      <c r="X28" s="6" t="s">
        <v>8</v>
      </c>
      <c r="Y28" s="5" t="str">
        <f>D31</f>
        <v>------</v>
      </c>
      <c r="Z28" s="20"/>
      <c r="AA28" s="21"/>
      <c r="AB28" s="21"/>
      <c r="AC28" s="21"/>
      <c r="AD28" s="23"/>
      <c r="AE28" s="10">
        <f>IF(AND(LEN(Z28)&gt;0,MID(Z28,1,1)&lt;&gt;"-"),"1","0")+IF(AND(LEN(AA28)&gt;0,MID(AA28,1,1)&lt;&gt;"-"),"1","0")+IF(AND(LEN(AB28)&gt;0,MID(AB28,1,1)&lt;&gt;"-"),"1","0")+IF(AND(LEN(AC28)&gt;0,MID(AC28,1,1)&lt;&gt;"-"),"1","0")+IF(AND(LEN(AD28)&gt;0,MID(AD28,1,1)&lt;&gt;"-"),"1","0")</f>
        <v>0</v>
      </c>
      <c r="AF28" s="11" t="s">
        <v>6</v>
      </c>
      <c r="AG28" s="12">
        <f>IF(AND(LEN(Z28)&gt;0,MID(Z28,1,1)="-"),"1","0")+IF(AND(LEN(AA28)&gt;0,MID(AA28,1,1)="-"),"1","0")+IF(AND(LEN(AB28)&gt;0,MID(AB28,1,1)="-"),"1","0")+IF(AND(LEN(AC28)&gt;0,MID(AC28,1,1)="-"),"1","0")+IF(AND(LEN(AD28)&gt;0,MID(AD28,1,1)="-"),"1","0")</f>
        <v>0</v>
      </c>
      <c r="AH28" s="35"/>
      <c r="AI28" s="37"/>
      <c r="AJ28" s="37">
        <f>A26</f>
        <v>0</v>
      </c>
      <c r="AK28" s="50">
        <f>A30</f>
        <v>0</v>
      </c>
    </row>
    <row r="29" spans="1:54" ht="13.5" thickBot="1">
      <c r="A29" s="173"/>
      <c r="B29"/>
      <c r="C29" s="134"/>
      <c r="D29" s="30" t="str">
        <f>IF(COUNTIF(seznam!$A$2:$A$13,A28)=1,VLOOKUP(A28,seznam!$A$2:$C$13,2,FALSE),"------")</f>
        <v>------</v>
      </c>
      <c r="E29" s="263"/>
      <c r="F29" s="130"/>
      <c r="G29" s="264"/>
      <c r="H29" s="184"/>
      <c r="I29" s="144"/>
      <c r="J29" s="145"/>
      <c r="K29" s="151"/>
      <c r="L29" s="130"/>
      <c r="M29" s="138"/>
      <c r="N29" s="151"/>
      <c r="O29" s="130"/>
      <c r="P29" s="138"/>
      <c r="Q29" s="148"/>
      <c r="R29" s="130"/>
      <c r="S29" s="138"/>
      <c r="T29" s="260"/>
      <c r="U29" s="198"/>
      <c r="W29" s="41" t="str">
        <f>D29</f>
        <v>------</v>
      </c>
      <c r="X29" s="42" t="s">
        <v>8</v>
      </c>
      <c r="Y29" s="60" t="str">
        <f>D33</f>
        <v>------</v>
      </c>
      <c r="Z29" s="43"/>
      <c r="AA29" s="44"/>
      <c r="AB29" s="44"/>
      <c r="AC29" s="44"/>
      <c r="AD29" s="61"/>
      <c r="AE29" s="45">
        <f>IF(AND(LEN(Z29)&gt;0,MID(Z29,1,1)&lt;&gt;"-"),"1","0")+IF(AND(LEN(AA29)&gt;0,MID(AA29,1,1)&lt;&gt;"-"),"1","0")+IF(AND(LEN(AB29)&gt;0,MID(AB29,1,1)&lt;&gt;"-"),"1","0")+IF(AND(LEN(AC29)&gt;0,MID(AC29,1,1)&lt;&gt;"-"),"1","0")+IF(AND(LEN(AD29)&gt;0,MID(AD29,1,1)&lt;&gt;"-"),"1","0")</f>
        <v>0</v>
      </c>
      <c r="AF29" s="46" t="s">
        <v>6</v>
      </c>
      <c r="AG29" s="47">
        <f>IF(AND(LEN(Z29)&gt;0,MID(Z29,1,1)="-"),"1","0")+IF(AND(LEN(AA29)&gt;0,MID(AA29,1,1)="-"),"1","0")+IF(AND(LEN(AB29)&gt;0,MID(AB29,1,1)="-"),"1","0")+IF(AND(LEN(AC29)&gt;0,MID(AC29,1,1)="-"),"1","0")+IF(AND(LEN(AD29)&gt;0,MID(AD29,1,1)="-"),"1","0")</f>
        <v>0</v>
      </c>
      <c r="AH29" s="35"/>
      <c r="AI29" s="37"/>
      <c r="AJ29" s="3">
        <f>A28</f>
        <v>0</v>
      </c>
      <c r="AK29" s="4">
        <f>A32</f>
        <v>0</v>
      </c>
    </row>
    <row r="30" spans="1:54">
      <c r="A30" s="172"/>
      <c r="B30" s="24"/>
      <c r="C30" s="139">
        <v>3</v>
      </c>
      <c r="D30" s="29" t="str">
        <f>IF(COUNTIF(seznam!$A$2:$A$13,A30)=1,VLOOKUP(A30,seznam!$A$2:$C$13,3,FALSE),"------")</f>
        <v>------</v>
      </c>
      <c r="E30" s="149">
        <f>AG28</f>
        <v>0</v>
      </c>
      <c r="F30" s="129" t="s">
        <v>6</v>
      </c>
      <c r="G30" s="147">
        <f>AE28</f>
        <v>0</v>
      </c>
      <c r="H30" s="150">
        <f>AG26</f>
        <v>0</v>
      </c>
      <c r="I30" s="129" t="s">
        <v>6</v>
      </c>
      <c r="J30" s="147">
        <f>AE26</f>
        <v>0</v>
      </c>
      <c r="K30" s="175"/>
      <c r="L30" s="176"/>
      <c r="M30" s="183"/>
      <c r="N30" s="252"/>
      <c r="O30" s="129" t="s">
        <v>6</v>
      </c>
      <c r="P30" s="254"/>
      <c r="Q30" s="129">
        <f>H30+E30+N30</f>
        <v>0</v>
      </c>
      <c r="R30" s="129" t="s">
        <v>6</v>
      </c>
      <c r="S30" s="147">
        <f>J30+G30+P30</f>
        <v>0</v>
      </c>
      <c r="T30" s="259"/>
      <c r="U30" s="199"/>
      <c r="W30" s="35"/>
      <c r="X30" s="37"/>
      <c r="Y30" s="37"/>
      <c r="Z30" s="50"/>
      <c r="AA30" s="2"/>
      <c r="AB30"/>
      <c r="AC30"/>
      <c r="AD30"/>
      <c r="AE30"/>
      <c r="AF30"/>
      <c r="AG30"/>
      <c r="AH30"/>
      <c r="AI30"/>
      <c r="AJ30"/>
      <c r="AK30"/>
      <c r="AL30"/>
      <c r="AO30" s="3"/>
      <c r="AP30" s="3"/>
      <c r="AQ30" s="4"/>
      <c r="AZ30"/>
      <c r="BA30"/>
      <c r="BB30"/>
    </row>
    <row r="31" spans="1:54">
      <c r="A31" s="173"/>
      <c r="B31"/>
      <c r="C31" s="134"/>
      <c r="D31" s="30" t="str">
        <f>IF(COUNTIF(seznam!$A$2:$A$13,A30)=1,VLOOKUP(A30,seznam!$A$2:$C$13,2,FALSE),"------")</f>
        <v>------</v>
      </c>
      <c r="E31" s="136"/>
      <c r="F31" s="130"/>
      <c r="G31" s="138"/>
      <c r="H31" s="151"/>
      <c r="I31" s="130"/>
      <c r="J31" s="138"/>
      <c r="K31" s="184"/>
      <c r="L31" s="144"/>
      <c r="M31" s="145"/>
      <c r="N31" s="258"/>
      <c r="O31" s="130"/>
      <c r="P31" s="256"/>
      <c r="Q31" s="148"/>
      <c r="R31" s="148"/>
      <c r="S31" s="138"/>
      <c r="T31" s="260"/>
      <c r="U31" s="200"/>
      <c r="W31" s="9"/>
      <c r="Y31" s="3"/>
      <c r="Z31" s="4"/>
      <c r="AA31" s="2"/>
      <c r="AB31"/>
      <c r="AC31"/>
      <c r="AD31"/>
      <c r="AE31"/>
      <c r="AF31"/>
      <c r="AG31"/>
      <c r="AH31"/>
      <c r="AI31"/>
      <c r="AJ31"/>
      <c r="AK31"/>
      <c r="AL31"/>
      <c r="AO31" s="3"/>
      <c r="AP31" s="3"/>
      <c r="AQ31" s="4"/>
      <c r="AZ31"/>
      <c r="BA31"/>
      <c r="BB31"/>
    </row>
    <row r="32" spans="1:54">
      <c r="A32" s="172"/>
      <c r="B32" s="24"/>
      <c r="C32" s="139">
        <v>4</v>
      </c>
      <c r="D32" s="29" t="str">
        <f>IF(COUNTIF(seznam!$A$2:$A$13,A32)=1,VLOOKUP(A32,seznam!$A$2:$C$13,3,FALSE),"------")</f>
        <v>------</v>
      </c>
      <c r="E32" s="149">
        <f>AG25</f>
        <v>0</v>
      </c>
      <c r="F32" s="129" t="s">
        <v>6</v>
      </c>
      <c r="G32" s="147">
        <f>AE25</f>
        <v>0</v>
      </c>
      <c r="H32" s="150">
        <f>AG29</f>
        <v>0</v>
      </c>
      <c r="I32" s="129" t="s">
        <v>6</v>
      </c>
      <c r="J32" s="147">
        <f>AE29</f>
        <v>0</v>
      </c>
      <c r="K32" s="252"/>
      <c r="L32" s="129" t="s">
        <v>6</v>
      </c>
      <c r="M32" s="254"/>
      <c r="N32" s="175"/>
      <c r="O32" s="176"/>
      <c r="P32" s="183"/>
      <c r="Q32" s="129">
        <f>H32+K32+E32</f>
        <v>0</v>
      </c>
      <c r="R32" s="129" t="s">
        <v>6</v>
      </c>
      <c r="S32" s="147">
        <f>J32+M32+G32</f>
        <v>0</v>
      </c>
      <c r="T32" s="259"/>
      <c r="U32" s="199"/>
      <c r="W32" s="9"/>
      <c r="Y32" s="3"/>
      <c r="Z32" s="4"/>
      <c r="AA32" s="2"/>
      <c r="AB32"/>
      <c r="AC32"/>
      <c r="AD32"/>
      <c r="AE32"/>
      <c r="AF32"/>
      <c r="AG32"/>
      <c r="AH32"/>
      <c r="AI32"/>
      <c r="AJ32"/>
      <c r="AK32"/>
      <c r="AL32"/>
      <c r="AO32" s="3"/>
      <c r="AP32" s="3"/>
      <c r="AQ32" s="4"/>
      <c r="AZ32"/>
      <c r="BA32"/>
      <c r="BB32"/>
    </row>
    <row r="33" spans="1:21" ht="13.5" thickBot="1">
      <c r="A33" s="173"/>
      <c r="B33"/>
      <c r="C33" s="174"/>
      <c r="D33" s="18" t="str">
        <f>IF(COUNTIF(seznam!$A$2:$A$13,A32)=1,VLOOKUP(A32,seznam!$A$2:$C$13,2,FALSE),"------")</f>
        <v>------</v>
      </c>
      <c r="E33" s="161"/>
      <c r="F33" s="155"/>
      <c r="G33" s="163"/>
      <c r="H33" s="158"/>
      <c r="I33" s="155"/>
      <c r="J33" s="163"/>
      <c r="K33" s="253"/>
      <c r="L33" s="155"/>
      <c r="M33" s="255"/>
      <c r="N33" s="178"/>
      <c r="O33" s="179"/>
      <c r="P33" s="257"/>
      <c r="Q33" s="181"/>
      <c r="R33" s="155"/>
      <c r="S33" s="163"/>
      <c r="T33" s="261"/>
      <c r="U33" s="201"/>
    </row>
    <row r="42" spans="1:21">
      <c r="S42"/>
      <c r="T42"/>
      <c r="U42"/>
    </row>
  </sheetData>
  <mergeCells count="233">
    <mergeCell ref="S4:S5"/>
    <mergeCell ref="T4:T5"/>
    <mergeCell ref="U4:U5"/>
    <mergeCell ref="T6:T7"/>
    <mergeCell ref="R4:R5"/>
    <mergeCell ref="Q6:Q7"/>
    <mergeCell ref="Q4:Q5"/>
    <mergeCell ref="N4:N5"/>
    <mergeCell ref="Q8:Q9"/>
    <mergeCell ref="N8:N9"/>
    <mergeCell ref="O8:O9"/>
    <mergeCell ref="N6:N7"/>
    <mergeCell ref="R6:R7"/>
    <mergeCell ref="O6:O7"/>
    <mergeCell ref="T21:T22"/>
    <mergeCell ref="N24:P25"/>
    <mergeCell ref="T24:T25"/>
    <mergeCell ref="L21:L22"/>
    <mergeCell ref="K19:M20"/>
    <mergeCell ref="S19:S20"/>
    <mergeCell ref="U24:U25"/>
    <mergeCell ref="T10:T11"/>
    <mergeCell ref="Q10:Q11"/>
    <mergeCell ref="N10:P11"/>
    <mergeCell ref="U10:U11"/>
    <mergeCell ref="R10:R11"/>
    <mergeCell ref="Q19:Q20"/>
    <mergeCell ref="U21:U22"/>
    <mergeCell ref="Q21:Q22"/>
    <mergeCell ref="R21:R22"/>
    <mergeCell ref="M21:M22"/>
    <mergeCell ref="N21:P22"/>
    <mergeCell ref="S21:S22"/>
    <mergeCell ref="U17:U18"/>
    <mergeCell ref="Q17:Q18"/>
    <mergeCell ref="P17:P18"/>
    <mergeCell ref="R17:R18"/>
    <mergeCell ref="S17:S18"/>
    <mergeCell ref="A21:A22"/>
    <mergeCell ref="C21:C22"/>
    <mergeCell ref="E21:E22"/>
    <mergeCell ref="F21:F22"/>
    <mergeCell ref="G21:G22"/>
    <mergeCell ref="K21:K22"/>
    <mergeCell ref="H21:H22"/>
    <mergeCell ref="I21:I22"/>
    <mergeCell ref="J21:J22"/>
    <mergeCell ref="J19:J20"/>
    <mergeCell ref="H17:J18"/>
    <mergeCell ref="L15:L16"/>
    <mergeCell ref="M15:M16"/>
    <mergeCell ref="I15:I16"/>
    <mergeCell ref="J15:J16"/>
    <mergeCell ref="U19:U20"/>
    <mergeCell ref="R19:R20"/>
    <mergeCell ref="A19:A20"/>
    <mergeCell ref="C19:C20"/>
    <mergeCell ref="E19:E20"/>
    <mergeCell ref="F19:F20"/>
    <mergeCell ref="T19:T20"/>
    <mergeCell ref="P19:P20"/>
    <mergeCell ref="G19:G20"/>
    <mergeCell ref="N19:N20"/>
    <mergeCell ref="O19:O20"/>
    <mergeCell ref="E15:G16"/>
    <mergeCell ref="H15:H16"/>
    <mergeCell ref="H13:J14"/>
    <mergeCell ref="E6:E7"/>
    <mergeCell ref="F6:F7"/>
    <mergeCell ref="G6:G7"/>
    <mergeCell ref="U15:U16"/>
    <mergeCell ref="A17:A18"/>
    <mergeCell ref="C17:C18"/>
    <mergeCell ref="E17:E18"/>
    <mergeCell ref="F17:F18"/>
    <mergeCell ref="G17:G18"/>
    <mergeCell ref="K15:K16"/>
    <mergeCell ref="A15:A16"/>
    <mergeCell ref="C15:C16"/>
    <mergeCell ref="R15:R16"/>
    <mergeCell ref="K17:K18"/>
    <mergeCell ref="L17:L18"/>
    <mergeCell ref="S15:S16"/>
    <mergeCell ref="T15:T16"/>
    <mergeCell ref="T17:T18"/>
    <mergeCell ref="N17:N18"/>
    <mergeCell ref="O17:O18"/>
    <mergeCell ref="A6:A7"/>
    <mergeCell ref="J4:J5"/>
    <mergeCell ref="U2:U3"/>
    <mergeCell ref="A10:A11"/>
    <mergeCell ref="C13:D14"/>
    <mergeCell ref="E13:G14"/>
    <mergeCell ref="F10:F11"/>
    <mergeCell ref="G10:G11"/>
    <mergeCell ref="C6:C7"/>
    <mergeCell ref="A8:A9"/>
    <mergeCell ref="A4:A5"/>
    <mergeCell ref="H4:H5"/>
    <mergeCell ref="C10:C11"/>
    <mergeCell ref="J10:J11"/>
    <mergeCell ref="M10:M11"/>
    <mergeCell ref="I10:I11"/>
    <mergeCell ref="I8:I9"/>
    <mergeCell ref="K10:K11"/>
    <mergeCell ref="K8:M9"/>
    <mergeCell ref="S6:S7"/>
    <mergeCell ref="K6:K7"/>
    <mergeCell ref="L6:L7"/>
    <mergeCell ref="M6:M7"/>
    <mergeCell ref="P6:P7"/>
    <mergeCell ref="E10:E11"/>
    <mergeCell ref="W22:AG23"/>
    <mergeCell ref="K13:M14"/>
    <mergeCell ref="N13:P14"/>
    <mergeCell ref="K2:M3"/>
    <mergeCell ref="N2:P3"/>
    <mergeCell ref="H8:H9"/>
    <mergeCell ref="L4:L5"/>
    <mergeCell ref="M4:M5"/>
    <mergeCell ref="J8:J9"/>
    <mergeCell ref="H10:H11"/>
    <mergeCell ref="L10:L11"/>
    <mergeCell ref="H2:J3"/>
    <mergeCell ref="K4:K5"/>
    <mergeCell ref="O4:O5"/>
    <mergeCell ref="P4:P5"/>
    <mergeCell ref="I4:I5"/>
    <mergeCell ref="H6:J7"/>
    <mergeCell ref="N15:N16"/>
    <mergeCell ref="O15:O16"/>
    <mergeCell ref="P15:P16"/>
    <mergeCell ref="Q15:Q16"/>
    <mergeCell ref="M17:M18"/>
    <mergeCell ref="H19:H20"/>
    <mergeCell ref="I19:I20"/>
    <mergeCell ref="W11:AG12"/>
    <mergeCell ref="W1:AG1"/>
    <mergeCell ref="AN1:AX1"/>
    <mergeCell ref="Q13:S14"/>
    <mergeCell ref="T13:T14"/>
    <mergeCell ref="U13:U14"/>
    <mergeCell ref="Q2:S3"/>
    <mergeCell ref="T2:T3"/>
    <mergeCell ref="S10:S11"/>
    <mergeCell ref="C1:U1"/>
    <mergeCell ref="C2:D3"/>
    <mergeCell ref="E2:G3"/>
    <mergeCell ref="E4:G5"/>
    <mergeCell ref="C4:C5"/>
    <mergeCell ref="C8:C9"/>
    <mergeCell ref="E8:E9"/>
    <mergeCell ref="F8:F9"/>
    <mergeCell ref="G8:G9"/>
    <mergeCell ref="T8:T9"/>
    <mergeCell ref="U8:U9"/>
    <mergeCell ref="S8:S9"/>
    <mergeCell ref="U6:U7"/>
    <mergeCell ref="R8:R9"/>
    <mergeCell ref="P8:P9"/>
    <mergeCell ref="K24:M25"/>
    <mergeCell ref="K26:K27"/>
    <mergeCell ref="L26:L27"/>
    <mergeCell ref="M26:M27"/>
    <mergeCell ref="J26:J27"/>
    <mergeCell ref="C24:D25"/>
    <mergeCell ref="E24:G25"/>
    <mergeCell ref="H24:J25"/>
    <mergeCell ref="S26:S27"/>
    <mergeCell ref="Q24:S25"/>
    <mergeCell ref="T26:T27"/>
    <mergeCell ref="U26:U27"/>
    <mergeCell ref="A28:A29"/>
    <mergeCell ref="C28:C29"/>
    <mergeCell ref="E28:E29"/>
    <mergeCell ref="F28:F29"/>
    <mergeCell ref="G28:G29"/>
    <mergeCell ref="H28:J29"/>
    <mergeCell ref="K28:K29"/>
    <mergeCell ref="N26:N27"/>
    <mergeCell ref="Q28:Q29"/>
    <mergeCell ref="A26:A27"/>
    <mergeCell ref="C26:C27"/>
    <mergeCell ref="E26:G27"/>
    <mergeCell ref="H26:H27"/>
    <mergeCell ref="I26:I27"/>
    <mergeCell ref="O26:O27"/>
    <mergeCell ref="P26:P27"/>
    <mergeCell ref="Q26:Q27"/>
    <mergeCell ref="R26:R27"/>
    <mergeCell ref="J30:J31"/>
    <mergeCell ref="R28:R29"/>
    <mergeCell ref="L28:L29"/>
    <mergeCell ref="M28:M29"/>
    <mergeCell ref="K30:M31"/>
    <mergeCell ref="N30:N31"/>
    <mergeCell ref="T28:T29"/>
    <mergeCell ref="U28:U29"/>
    <mergeCell ref="T32:T33"/>
    <mergeCell ref="T30:T31"/>
    <mergeCell ref="S28:S29"/>
    <mergeCell ref="U32:U33"/>
    <mergeCell ref="Q30:Q31"/>
    <mergeCell ref="U30:U31"/>
    <mergeCell ref="S30:S31"/>
    <mergeCell ref="R32:R33"/>
    <mergeCell ref="S32:S33"/>
    <mergeCell ref="Q32:Q33"/>
    <mergeCell ref="R30:R31"/>
    <mergeCell ref="H30:H31"/>
    <mergeCell ref="I30:I31"/>
    <mergeCell ref="N28:N29"/>
    <mergeCell ref="O28:O29"/>
    <mergeCell ref="P28:P29"/>
    <mergeCell ref="G30:G31"/>
    <mergeCell ref="A32:A33"/>
    <mergeCell ref="C32:C33"/>
    <mergeCell ref="E32:E33"/>
    <mergeCell ref="F32:F33"/>
    <mergeCell ref="G32:G33"/>
    <mergeCell ref="A30:A31"/>
    <mergeCell ref="C30:C31"/>
    <mergeCell ref="E30:E31"/>
    <mergeCell ref="F30:F31"/>
    <mergeCell ref="J32:J33"/>
    <mergeCell ref="K32:K33"/>
    <mergeCell ref="L32:L33"/>
    <mergeCell ref="M32:M33"/>
    <mergeCell ref="O30:O31"/>
    <mergeCell ref="P30:P31"/>
    <mergeCell ref="N32:P33"/>
    <mergeCell ref="I32:I33"/>
    <mergeCell ref="H32:H3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2" max="33" man="1"/>
    <brk id="38" max="44" man="1"/>
  </colBreaks>
  <ignoredErrors>
    <ignoredError sqref="C4:D7 H11:J11 W7:X7 C9:D9 C12:D12 C20:D20 D8 C11:D11 D10 D19 C22:D22 D21 W12:AG12 AE7:AG7 I10 C14:D18 D13 X11:AG11 D27 D29 D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B4" sqref="B4"/>
    </sheetView>
  </sheetViews>
  <sheetFormatPr defaultRowHeight="12.5"/>
  <cols>
    <col min="1" max="2" width="6.26953125" style="1" customWidth="1"/>
    <col min="3" max="3" width="18.7265625" customWidth="1"/>
    <col min="4" max="4" width="2.7265625" customWidth="1"/>
    <col min="5" max="5" width="18.7265625" customWidth="1"/>
    <col min="6" max="6" width="11.26953125" customWidth="1"/>
    <col min="7" max="9" width="9.1796875" style="16"/>
    <col min="11" max="11" width="11.453125" bestFit="1" customWidth="1"/>
  </cols>
  <sheetData>
    <row r="1" spans="1:10">
      <c r="A1" s="272" t="s">
        <v>31</v>
      </c>
      <c r="B1" s="272"/>
      <c r="C1" t="s">
        <v>41</v>
      </c>
    </row>
    <row r="3" spans="1:10">
      <c r="C3" t="s">
        <v>18</v>
      </c>
      <c r="E3" t="s">
        <v>19</v>
      </c>
      <c r="F3" s="1" t="s">
        <v>26</v>
      </c>
      <c r="G3" s="16" t="s">
        <v>27</v>
      </c>
      <c r="H3" s="16" t="s">
        <v>28</v>
      </c>
      <c r="I3" s="16" t="s">
        <v>29</v>
      </c>
      <c r="J3" s="16" t="s">
        <v>43</v>
      </c>
    </row>
    <row r="4" spans="1:10" ht="13">
      <c r="A4" s="37">
        <f>'sk A,B - Muži'!AP3</f>
        <v>1</v>
      </c>
      <c r="B4" s="37">
        <f>'sk A,B - Muži'!AQ3</f>
        <v>12</v>
      </c>
      <c r="C4" t="str">
        <f>IF(COUNTIF(seznam!$A$2:$A$22,A4)=1,VLOOKUP(A4,seznam!$A$2:$C$22,2,FALSE),"------")</f>
        <v>Voráč Pavel</v>
      </c>
      <c r="E4" t="str">
        <f>IF(COUNTIF(seznam!$A$2:$A$22,B4)=1,VLOOKUP(B4,seznam!$A$2:$C$22,2,FALSE),"------")</f>
        <v>Luhan Adam</v>
      </c>
      <c r="F4" s="90">
        <f>TRUNC((ROW()-4)/7)+1</f>
        <v>1</v>
      </c>
      <c r="G4" s="16" t="s">
        <v>42</v>
      </c>
      <c r="J4" t="str">
        <f xml:space="preserve">  MID( INDEX('sk A,B - Muži'!$C$1:'sk A,B - Muži'!$C$17,  TRUNC((ROW()-(TRUNC((ROW()-4)/7)*7+4))/3)*15+2,1), LEN("skupina ")+1,1)</f>
        <v>A</v>
      </c>
    </row>
    <row r="5" spans="1:10" ht="13">
      <c r="A5" s="37">
        <f>'sk A,B - Muži'!AP4</f>
        <v>10</v>
      </c>
      <c r="B5" s="37">
        <f>'sk A,B - Muži'!AQ4</f>
        <v>3</v>
      </c>
      <c r="C5" t="str">
        <f>IF(COUNTIF(seznam!$A$2:$A$22,A5)=1,VLOOKUP(A5,seznam!$A$2:$C$22,2,FALSE),"------")</f>
        <v>Spěvák Šimon</v>
      </c>
      <c r="E5" t="str">
        <f>IF(COUNTIF(seznam!$A$2:$A$22,B5)=1,VLOOKUP(B5,seznam!$A$2:$C$22,2,FALSE),"------")</f>
        <v>Šimon Samuel</v>
      </c>
      <c r="F5" s="90">
        <f t="shared" ref="F5:F37" si="0">TRUNC((ROW()-4)/7)+1</f>
        <v>1</v>
      </c>
      <c r="G5" s="16" t="s">
        <v>42</v>
      </c>
      <c r="J5" t="str">
        <f xml:space="preserve">  MID( INDEX('sk A,B - Muži'!$C$1:'sk A,B - Muži'!$C$17,  TRUNC((ROW()-(TRUNC((ROW()-4)/7)*7+4))/3)*15+2,1), LEN("skupina ")+1,1)</f>
        <v>A</v>
      </c>
    </row>
    <row r="6" spans="1:10" ht="13">
      <c r="A6" s="37">
        <f>'sk A,B - Muži'!AP5</f>
        <v>8</v>
      </c>
      <c r="B6" s="37">
        <f>'sk A,B - Muži'!AQ5</f>
        <v>6</v>
      </c>
      <c r="C6" t="str">
        <f>IF(COUNTIF(seznam!$A$2:$A$22,A6)=1,VLOOKUP(A6,seznam!$A$2:$C$22,2,FALSE),"------")</f>
        <v>Látal Jan</v>
      </c>
      <c r="E6" t="str">
        <f>IF(COUNTIF(seznam!$A$2:$A$22,B6)=1,VLOOKUP(B6,seznam!$A$2:$C$22,2,FALSE),"------")</f>
        <v>Tomeček Richard</v>
      </c>
      <c r="F6" s="90">
        <f t="shared" si="0"/>
        <v>1</v>
      </c>
      <c r="G6" s="16" t="s">
        <v>42</v>
      </c>
      <c r="J6" t="str">
        <f xml:space="preserve">  MID( INDEX('sk A,B - Muži'!$C$1:'sk A,B - Muži'!$C$17,  TRUNC((ROW()-(TRUNC((ROW()-4)/7)*7+4))/3)*15+2,1), LEN("skupina ")+1,1)</f>
        <v>A</v>
      </c>
    </row>
    <row r="7" spans="1:10" ht="13">
      <c r="A7" s="37">
        <f>'sk A,B - Muži'!AP6</f>
        <v>2</v>
      </c>
      <c r="B7" s="37">
        <f>'sk A,B - Muži'!AQ6</f>
        <v>11</v>
      </c>
      <c r="C7" t="str">
        <f>IF(COUNTIF(seznam!$A$2:$A$22,A7)=1,VLOOKUP(A7,seznam!$A$2:$C$22,2,FALSE),"------")</f>
        <v>Peťura Patrik</v>
      </c>
      <c r="E7" t="str">
        <f>IF(COUNTIF(seznam!$A$2:$A$22,B7)=1,VLOOKUP(B7,seznam!$A$2:$C$22,2,FALSE),"------")</f>
        <v>Plotzer Robin</v>
      </c>
      <c r="F7" s="90">
        <f t="shared" si="0"/>
        <v>1</v>
      </c>
      <c r="G7" s="16" t="s">
        <v>42</v>
      </c>
      <c r="J7" t="str">
        <f xml:space="preserve">  MID( INDEX('sk A,B - Muži'!$C$1:'sk A,B - Muži'!$C$17,  TRUNC((ROW()-(TRUNC((ROW()-4)/7)*7+4))/3)*15+2,1), LEN("skupina ")+1,1)</f>
        <v>B</v>
      </c>
    </row>
    <row r="8" spans="1:10" ht="13">
      <c r="A8" s="3">
        <f>'sk A,B - Muži'!AP7</f>
        <v>9</v>
      </c>
      <c r="B8" s="3">
        <f>'sk A,B - Muži'!AQ7</f>
        <v>4</v>
      </c>
      <c r="C8" t="str">
        <f>IF(COUNTIF(seznam!$A$2:$A$22,A8)=1,VLOOKUP(A8,seznam!$A$2:$C$22,2,FALSE),"------")</f>
        <v>Ides Samuel Hugo</v>
      </c>
      <c r="E8" t="str">
        <f>IF(COUNTIF(seznam!$A$2:$A$22,B8)=1,VLOOKUP(B8,seznam!$A$2:$C$22,2,FALSE),"------")</f>
        <v>Kmenta Josef</v>
      </c>
      <c r="F8" s="90">
        <f t="shared" si="0"/>
        <v>1</v>
      </c>
      <c r="G8" s="16" t="s">
        <v>42</v>
      </c>
      <c r="J8" t="str">
        <f xml:space="preserve">  MID( INDEX('sk A,B - Muži'!$C$1:'sk A,B - Muži'!$C$17,  TRUNC((ROW()-(TRUNC((ROW()-4)/7)*7+4))/3)*15+2,1), LEN("skupina ")+1,1)</f>
        <v>B</v>
      </c>
    </row>
    <row r="9" spans="1:10" ht="13">
      <c r="A9" s="37">
        <f>'sk A,B - Muži'!AP8</f>
        <v>7</v>
      </c>
      <c r="B9" s="37">
        <f>'sk A,B - Muži'!AQ8</f>
        <v>5</v>
      </c>
      <c r="C9" t="str">
        <f>IF(COUNTIF(seznam!$A$2:$A$22,A9)=1,VLOOKUP(A9,seznam!$A$2:$C$22,2,FALSE),"------")</f>
        <v>Pantlík Daniel</v>
      </c>
      <c r="E9" t="str">
        <f>IF(COUNTIF(seznam!$A$2:$A$22,B9)=1,VLOOKUP(B9,seznam!$A$2:$C$22,2,FALSE),"------")</f>
        <v>Omelka Marek</v>
      </c>
      <c r="F9" s="90">
        <f t="shared" si="0"/>
        <v>1</v>
      </c>
      <c r="G9" s="16" t="s">
        <v>42</v>
      </c>
      <c r="J9" t="str">
        <f xml:space="preserve">  MID( INDEX('sk A,B - Muži'!$C$1:'sk A,B - Muži'!$C$17,  TRUNC((ROW()-(TRUNC((ROW()-4)/7)*7+4))/3)*15+2,1), LEN("skupina ")+1,1)</f>
        <v>B</v>
      </c>
    </row>
    <row r="10" spans="1:10">
      <c r="F10" s="90"/>
    </row>
    <row r="11" spans="1:10" ht="13">
      <c r="A11" s="37">
        <f>'sk A,B - Muži'!AP10</f>
        <v>12</v>
      </c>
      <c r="B11" s="37">
        <f>'sk A,B - Muži'!AQ10</f>
        <v>6</v>
      </c>
      <c r="C11" t="str">
        <f>IF(COUNTIF(seznam!$A$2:$A$22,A11)=1,VLOOKUP(A11,seznam!$A$2:$C$22,2,FALSE),"------")</f>
        <v>Luhan Adam</v>
      </c>
      <c r="E11" t="str">
        <f>IF(COUNTIF(seznam!$A$2:$A$22,B11)=1,VLOOKUP(B11,seznam!$A$2:$C$22,2,FALSE),"------")</f>
        <v>Tomeček Richard</v>
      </c>
      <c r="F11" s="90">
        <f t="shared" si="0"/>
        <v>2</v>
      </c>
      <c r="G11" s="16" t="s">
        <v>42</v>
      </c>
      <c r="J11" t="str">
        <f xml:space="preserve">  MID( INDEX('sk A,B - Muži'!$C$1:'sk A,B - Muži'!$C$17,  TRUNC((ROW()-(TRUNC((ROW()-4)/7)*7+4))/3)*15+2,1), LEN("skupina ")+1,1)</f>
        <v>A</v>
      </c>
    </row>
    <row r="12" spans="1:10" ht="13">
      <c r="A12" s="37">
        <f>'sk A,B - Muži'!AP11</f>
        <v>3</v>
      </c>
      <c r="B12" s="37">
        <f>'sk A,B - Muži'!AQ11</f>
        <v>8</v>
      </c>
      <c r="C12" t="str">
        <f>IF(COUNTIF(seznam!$A$2:$A$22,A12)=1,VLOOKUP(A12,seznam!$A$2:$C$22,2,FALSE),"------")</f>
        <v>Šimon Samuel</v>
      </c>
      <c r="E12" t="str">
        <f>IF(COUNTIF(seznam!$A$2:$A$22,B12)=1,VLOOKUP(B12,seznam!$A$2:$C$22,2,FALSE),"------")</f>
        <v>Látal Jan</v>
      </c>
      <c r="F12" s="90">
        <f t="shared" si="0"/>
        <v>2</v>
      </c>
      <c r="G12" s="16" t="s">
        <v>42</v>
      </c>
      <c r="J12" t="str">
        <f xml:space="preserve">  MID( INDEX('sk A,B - Muži'!$C$1:'sk A,B - Muži'!$C$17,  TRUNC((ROW()-(TRUNC((ROW()-4)/7)*7+4))/3)*15+2,1), LEN("skupina ")+1,1)</f>
        <v>A</v>
      </c>
    </row>
    <row r="13" spans="1:10" ht="13">
      <c r="A13" s="37">
        <f>'sk A,B - Muži'!AP12</f>
        <v>1</v>
      </c>
      <c r="B13" s="37">
        <f>'sk A,B - Muži'!AQ12</f>
        <v>10</v>
      </c>
      <c r="C13" t="str">
        <f>IF(COUNTIF(seznam!$A$2:$A$22,A13)=1,VLOOKUP(A13,seznam!$A$2:$C$22,2,FALSE),"------")</f>
        <v>Voráč Pavel</v>
      </c>
      <c r="E13" t="str">
        <f>IF(COUNTIF(seznam!$A$2:$A$22,B13)=1,VLOOKUP(B13,seznam!$A$2:$C$22,2,FALSE),"------")</f>
        <v>Spěvák Šimon</v>
      </c>
      <c r="F13" s="90">
        <f t="shared" si="0"/>
        <v>2</v>
      </c>
      <c r="G13" s="16" t="s">
        <v>42</v>
      </c>
      <c r="J13" t="str">
        <f xml:space="preserve">  MID( INDEX('sk A,B - Muži'!$C$1:'sk A,B - Muži'!$C$17,  TRUNC((ROW()-(TRUNC((ROW()-4)/7)*7+4))/3)*15+2,1), LEN("skupina ")+1,1)</f>
        <v>A</v>
      </c>
    </row>
    <row r="14" spans="1:10" ht="13">
      <c r="A14" s="37">
        <f>'sk A,B - Muži'!AP13</f>
        <v>11</v>
      </c>
      <c r="B14" s="37">
        <f>'sk A,B - Muži'!AQ13</f>
        <v>5</v>
      </c>
      <c r="C14" t="str">
        <f>IF(COUNTIF(seznam!$A$2:$A$22,A14)=1,VLOOKUP(A14,seznam!$A$2:$C$22,2,FALSE),"------")</f>
        <v>Plotzer Robin</v>
      </c>
      <c r="E14" t="str">
        <f>IF(COUNTIF(seznam!$A$2:$A$22,B14)=1,VLOOKUP(B14,seznam!$A$2:$C$22,2,FALSE),"------")</f>
        <v>Omelka Marek</v>
      </c>
      <c r="F14" s="90">
        <f t="shared" si="0"/>
        <v>2</v>
      </c>
      <c r="G14" s="16" t="s">
        <v>42</v>
      </c>
      <c r="J14" t="str">
        <f xml:space="preserve">  MID( INDEX('sk A,B - Muži'!$C$1:'sk A,B - Muži'!$C$17,  TRUNC((ROW()-(TRUNC((ROW()-4)/7)*7+4))/3)*15+2,1), LEN("skupina ")+1,1)</f>
        <v>B</v>
      </c>
    </row>
    <row r="15" spans="1:10" ht="13">
      <c r="A15" s="3">
        <f>'sk A,B - Muži'!AP14</f>
        <v>4</v>
      </c>
      <c r="B15" s="3">
        <f>'sk A,B - Muži'!AQ14</f>
        <v>7</v>
      </c>
      <c r="C15" t="str">
        <f>IF(COUNTIF(seznam!$A$2:$A$22,A15)=1,VLOOKUP(A15,seznam!$A$2:$C$22,2,FALSE),"------")</f>
        <v>Kmenta Josef</v>
      </c>
      <c r="E15" t="str">
        <f>IF(COUNTIF(seznam!$A$2:$A$22,B15)=1,VLOOKUP(B15,seznam!$A$2:$C$22,2,FALSE),"------")</f>
        <v>Pantlík Daniel</v>
      </c>
      <c r="F15" s="90">
        <f t="shared" si="0"/>
        <v>2</v>
      </c>
      <c r="G15" s="16" t="s">
        <v>42</v>
      </c>
      <c r="J15" t="str">
        <f xml:space="preserve">  MID( INDEX('sk A,B - Muži'!$C$1:'sk A,B - Muži'!$C$17,  TRUNC((ROW()-(TRUNC((ROW()-4)/7)*7+4))/3)*15+2,1), LEN("skupina ")+1,1)</f>
        <v>B</v>
      </c>
    </row>
    <row r="16" spans="1:10" ht="13">
      <c r="A16" s="37">
        <f>'sk A,B - Muži'!AP15</f>
        <v>2</v>
      </c>
      <c r="B16" s="37">
        <f>'sk A,B - Muži'!AQ15</f>
        <v>9</v>
      </c>
      <c r="C16" t="str">
        <f>IF(COUNTIF(seznam!$A$2:$A$22,A16)=1,VLOOKUP(A16,seznam!$A$2:$C$22,2,FALSE),"------")</f>
        <v>Peťura Patrik</v>
      </c>
      <c r="E16" t="str">
        <f>IF(COUNTIF(seznam!$A$2:$A$22,B16)=1,VLOOKUP(B16,seznam!$A$2:$C$22,2,FALSE),"------")</f>
        <v>Ides Samuel Hugo</v>
      </c>
      <c r="F16" s="90">
        <f t="shared" si="0"/>
        <v>2</v>
      </c>
      <c r="G16" s="16" t="s">
        <v>42</v>
      </c>
      <c r="J16" t="str">
        <f xml:space="preserve">  MID( INDEX('sk A,B - Muži'!$C$1:'sk A,B - Muži'!$C$17,  TRUNC((ROW()-(TRUNC((ROW()-4)/7)*7+4))/3)*15+2,1), LEN("skupina ")+1,1)</f>
        <v>B</v>
      </c>
    </row>
    <row r="17" spans="1:10">
      <c r="F17" s="90"/>
    </row>
    <row r="18" spans="1:10" ht="13">
      <c r="A18" s="37">
        <f>'sk A,B - Muži'!AP17</f>
        <v>10</v>
      </c>
      <c r="B18" s="37">
        <f>'sk A,B - Muži'!AQ17</f>
        <v>12</v>
      </c>
      <c r="C18" t="str">
        <f>IF(COUNTIF(seznam!$A$2:$A$22,A18)=1,VLOOKUP(A18,seznam!$A$2:$C$22,2,FALSE),"------")</f>
        <v>Spěvák Šimon</v>
      </c>
      <c r="E18" t="str">
        <f>IF(COUNTIF(seznam!$A$2:$A$22,B18)=1,VLOOKUP(B18,seznam!$A$2:$C$22,2,FALSE),"------")</f>
        <v>Luhan Adam</v>
      </c>
      <c r="F18" s="90">
        <f t="shared" si="0"/>
        <v>3</v>
      </c>
      <c r="G18" s="16" t="s">
        <v>42</v>
      </c>
      <c r="J18" t="str">
        <f xml:space="preserve">  MID( INDEX('sk A,B - Muži'!$C$1:'sk A,B - Muži'!$C$17,  TRUNC((ROW()-(TRUNC((ROW()-4)/7)*7+4))/3)*15+2,1), LEN("skupina ")+1,1)</f>
        <v>A</v>
      </c>
    </row>
    <row r="19" spans="1:10" ht="13">
      <c r="A19" s="37">
        <f>'sk A,B - Muži'!AP18</f>
        <v>8</v>
      </c>
      <c r="B19" s="37">
        <f>'sk A,B - Muži'!AQ18</f>
        <v>1</v>
      </c>
      <c r="C19" t="str">
        <f>IF(COUNTIF(seznam!$A$2:$A$22,A19)=1,VLOOKUP(A19,seznam!$A$2:$C$22,2,FALSE),"------")</f>
        <v>Látal Jan</v>
      </c>
      <c r="E19" t="str">
        <f>IF(COUNTIF(seznam!$A$2:$A$22,B19)=1,VLOOKUP(B19,seznam!$A$2:$C$22,2,FALSE),"------")</f>
        <v>Voráč Pavel</v>
      </c>
      <c r="F19" s="90">
        <f t="shared" si="0"/>
        <v>3</v>
      </c>
      <c r="G19" s="16" t="s">
        <v>42</v>
      </c>
      <c r="J19" t="str">
        <f xml:space="preserve">  MID( INDEX('sk A,B - Muži'!$C$1:'sk A,B - Muži'!$C$17,  TRUNC((ROW()-(TRUNC((ROW()-4)/7)*7+4))/3)*15+2,1), LEN("skupina ")+1,1)</f>
        <v>A</v>
      </c>
    </row>
    <row r="20" spans="1:10" ht="13">
      <c r="A20" s="37">
        <f>'sk A,B - Muži'!AP19</f>
        <v>6</v>
      </c>
      <c r="B20" s="37">
        <f>'sk A,B - Muži'!AQ19</f>
        <v>3</v>
      </c>
      <c r="C20" t="str">
        <f>IF(COUNTIF(seznam!$A$2:$A$22,A20)=1,VLOOKUP(A20,seznam!$A$2:$C$22,2,FALSE),"------")</f>
        <v>Tomeček Richard</v>
      </c>
      <c r="E20" t="str">
        <f>IF(COUNTIF(seznam!$A$2:$A$22,B20)=1,VLOOKUP(B20,seznam!$A$2:$C$22,2,FALSE),"------")</f>
        <v>Šimon Samuel</v>
      </c>
      <c r="F20" s="90">
        <f t="shared" si="0"/>
        <v>3</v>
      </c>
      <c r="G20" s="16" t="s">
        <v>42</v>
      </c>
      <c r="J20" t="str">
        <f xml:space="preserve">  MID( INDEX('sk A,B - Muži'!$C$1:'sk A,B - Muži'!$C$17,  TRUNC((ROW()-(TRUNC((ROW()-4)/7)*7+4))/3)*15+2,1), LEN("skupina ")+1,1)</f>
        <v>A</v>
      </c>
    </row>
    <row r="21" spans="1:10" ht="13">
      <c r="A21" s="37">
        <f>'sk A,B - Muži'!AP20</f>
        <v>9</v>
      </c>
      <c r="B21" s="37">
        <f>'sk A,B - Muži'!AQ20</f>
        <v>11</v>
      </c>
      <c r="C21" t="str">
        <f>IF(COUNTIF(seznam!$A$2:$A$22,A21)=1,VLOOKUP(A21,seznam!$A$2:$C$22,2,FALSE),"------")</f>
        <v>Ides Samuel Hugo</v>
      </c>
      <c r="E21" t="str">
        <f>IF(COUNTIF(seznam!$A$2:$A$22,B21)=1,VLOOKUP(B21,seznam!$A$2:$C$22,2,FALSE),"------")</f>
        <v>Plotzer Robin</v>
      </c>
      <c r="F21" s="90">
        <f t="shared" si="0"/>
        <v>3</v>
      </c>
      <c r="G21" s="16" t="s">
        <v>42</v>
      </c>
      <c r="J21" t="str">
        <f xml:space="preserve">  MID( INDEX('sk A,B - Muži'!$C$1:'sk A,B - Muži'!$C$17,  TRUNC((ROW()-(TRUNC((ROW()-4)/7)*7+4))/3)*15+2,1), LEN("skupina ")+1,1)</f>
        <v>B</v>
      </c>
    </row>
    <row r="22" spans="1:10" ht="13">
      <c r="A22" s="3">
        <f>'sk A,B - Muži'!AP21</f>
        <v>7</v>
      </c>
      <c r="B22" s="3">
        <f>'sk A,B - Muži'!AQ21</f>
        <v>2</v>
      </c>
      <c r="C22" t="str">
        <f>IF(COUNTIF(seznam!$A$2:$A$22,A22)=1,VLOOKUP(A22,seznam!$A$2:$C$22,2,FALSE),"------")</f>
        <v>Pantlík Daniel</v>
      </c>
      <c r="E22" t="str">
        <f>IF(COUNTIF(seznam!$A$2:$A$22,B22)=1,VLOOKUP(B22,seznam!$A$2:$C$22,2,FALSE),"------")</f>
        <v>Peťura Patrik</v>
      </c>
      <c r="F22" s="90">
        <f t="shared" si="0"/>
        <v>3</v>
      </c>
      <c r="G22" s="16" t="s">
        <v>42</v>
      </c>
      <c r="J22" t="str">
        <f xml:space="preserve">  MID( INDEX('sk A,B - Muži'!$C$1:'sk A,B - Muži'!$C$17,  TRUNC((ROW()-(TRUNC((ROW()-4)/7)*7+4))/3)*15+2,1), LEN("skupina ")+1,1)</f>
        <v>B</v>
      </c>
    </row>
    <row r="23" spans="1:10" ht="13">
      <c r="A23" s="37">
        <f>'sk A,B - Muži'!AP22</f>
        <v>5</v>
      </c>
      <c r="B23" s="37">
        <f>'sk A,B - Muži'!AQ22</f>
        <v>4</v>
      </c>
      <c r="C23" t="str">
        <f>IF(COUNTIF(seznam!$A$2:$A$22,A23)=1,VLOOKUP(A23,seznam!$A$2:$C$22,2,FALSE),"------")</f>
        <v>Omelka Marek</v>
      </c>
      <c r="E23" t="str">
        <f>IF(COUNTIF(seznam!$A$2:$A$22,B23)=1,VLOOKUP(B23,seznam!$A$2:$C$22,2,FALSE),"------")</f>
        <v>Kmenta Josef</v>
      </c>
      <c r="F23" s="90">
        <f t="shared" si="0"/>
        <v>3</v>
      </c>
      <c r="G23" s="16" t="s">
        <v>42</v>
      </c>
      <c r="J23" t="str">
        <f xml:space="preserve">  MID( INDEX('sk A,B - Muži'!$C$1:'sk A,B - Muži'!$C$17,  TRUNC((ROW()-(TRUNC((ROW()-4)/7)*7+4))/3)*15+2,1), LEN("skupina ")+1,1)</f>
        <v>B</v>
      </c>
    </row>
    <row r="24" spans="1:10">
      <c r="F24" s="90"/>
    </row>
    <row r="25" spans="1:10" ht="13">
      <c r="A25" s="37">
        <f>'sk A,B - Muži'!AP24</f>
        <v>12</v>
      </c>
      <c r="B25" s="37">
        <f>'sk A,B - Muži'!AQ24</f>
        <v>3</v>
      </c>
      <c r="C25" t="str">
        <f>IF(COUNTIF(seznam!$A$2:$A$22,A25)=1,VLOOKUP(A25,seznam!$A$2:$C$22,2,FALSE),"------")</f>
        <v>Luhan Adam</v>
      </c>
      <c r="E25" t="str">
        <f>IF(COUNTIF(seznam!$A$2:$A$22,B25)=1,VLOOKUP(B25,seznam!$A$2:$C$22,2,FALSE),"------")</f>
        <v>Šimon Samuel</v>
      </c>
      <c r="F25" s="90">
        <f t="shared" si="0"/>
        <v>4</v>
      </c>
      <c r="G25" s="16" t="s">
        <v>42</v>
      </c>
      <c r="J25" t="str">
        <f xml:space="preserve">  MID( INDEX('sk A,B - Muži'!$C$1:'sk A,B - Muži'!$C$17,  TRUNC((ROW()-(TRUNC((ROW()-4)/7)*7+4))/3)*15+2,1), LEN("skupina ")+1,1)</f>
        <v>A</v>
      </c>
    </row>
    <row r="26" spans="1:10" ht="13">
      <c r="A26" s="37">
        <f>'sk A,B - Muži'!AP25</f>
        <v>1</v>
      </c>
      <c r="B26" s="37">
        <f>'sk A,B - Muži'!AQ25</f>
        <v>6</v>
      </c>
      <c r="C26" t="str">
        <f>IF(COUNTIF(seznam!$A$2:$A$22,A26)=1,VLOOKUP(A26,seznam!$A$2:$C$22,2,FALSE),"------")</f>
        <v>Voráč Pavel</v>
      </c>
      <c r="E26" t="str">
        <f>IF(COUNTIF(seznam!$A$2:$A$22,B26)=1,VLOOKUP(B26,seznam!$A$2:$C$22,2,FALSE),"------")</f>
        <v>Tomeček Richard</v>
      </c>
      <c r="F26" s="90">
        <f t="shared" si="0"/>
        <v>4</v>
      </c>
      <c r="G26" s="16" t="s">
        <v>42</v>
      </c>
      <c r="J26" t="str">
        <f xml:space="preserve">  MID( INDEX('sk A,B - Muži'!$C$1:'sk A,B - Muži'!$C$17,  TRUNC((ROW()-(TRUNC((ROW()-4)/7)*7+4))/3)*15+2,1), LEN("skupina ")+1,1)</f>
        <v>A</v>
      </c>
    </row>
    <row r="27" spans="1:10" ht="13">
      <c r="A27" s="37">
        <f>'sk A,B - Muži'!AP26</f>
        <v>10</v>
      </c>
      <c r="B27" s="37">
        <f>'sk A,B - Muži'!AQ26</f>
        <v>8</v>
      </c>
      <c r="C27" t="str">
        <f>IF(COUNTIF(seznam!$A$2:$A$22,A27)=1,VLOOKUP(A27,seznam!$A$2:$C$22,2,FALSE),"------")</f>
        <v>Spěvák Šimon</v>
      </c>
      <c r="E27" t="str">
        <f>IF(COUNTIF(seznam!$A$2:$A$22,B27)=1,VLOOKUP(B27,seznam!$A$2:$C$22,2,FALSE),"------")</f>
        <v>Látal Jan</v>
      </c>
      <c r="F27" s="90">
        <f t="shared" si="0"/>
        <v>4</v>
      </c>
      <c r="G27" s="16" t="s">
        <v>42</v>
      </c>
      <c r="J27" t="str">
        <f xml:space="preserve">  MID( INDEX('sk A,B - Muži'!$C$1:'sk A,B - Muži'!$C$17,  TRUNC((ROW()-(TRUNC((ROW()-4)/7)*7+4))/3)*15+2,1), LEN("skupina ")+1,1)</f>
        <v>A</v>
      </c>
    </row>
    <row r="28" spans="1:10" ht="13">
      <c r="A28" s="37">
        <f>'sk A,B - Muži'!AP27</f>
        <v>11</v>
      </c>
      <c r="B28" s="37">
        <f>'sk A,B - Muži'!AQ27</f>
        <v>4</v>
      </c>
      <c r="C28" t="str">
        <f>IF(COUNTIF(seznam!$A$2:$A$22,A28)=1,VLOOKUP(A28,seznam!$A$2:$C$22,2,FALSE),"------")</f>
        <v>Plotzer Robin</v>
      </c>
      <c r="E28" t="str">
        <f>IF(COUNTIF(seznam!$A$2:$A$22,B28)=1,VLOOKUP(B28,seznam!$A$2:$C$22,2,FALSE),"------")</f>
        <v>Kmenta Josef</v>
      </c>
      <c r="F28" s="90">
        <f t="shared" si="0"/>
        <v>4</v>
      </c>
      <c r="G28" s="16" t="s">
        <v>42</v>
      </c>
      <c r="J28" t="str">
        <f xml:space="preserve">  MID( INDEX('sk A,B - Muži'!$C$1:'sk A,B - Muži'!$C$17,  TRUNC((ROW()-(TRUNC((ROW()-4)/7)*7+4))/3)*15+2,1), LEN("skupina ")+1,1)</f>
        <v>B</v>
      </c>
    </row>
    <row r="29" spans="1:10" ht="13">
      <c r="A29" s="3">
        <f>'sk A,B - Muži'!AP28</f>
        <v>2</v>
      </c>
      <c r="B29" s="3">
        <f>'sk A,B - Muži'!AQ28</f>
        <v>5</v>
      </c>
      <c r="C29" t="str">
        <f>IF(COUNTIF(seznam!$A$2:$A$22,A29)=1,VLOOKUP(A29,seznam!$A$2:$C$22,2,FALSE),"------")</f>
        <v>Peťura Patrik</v>
      </c>
      <c r="E29" t="str">
        <f>IF(COUNTIF(seznam!$A$2:$A$22,B29)=1,VLOOKUP(B29,seznam!$A$2:$C$22,2,FALSE),"------")</f>
        <v>Omelka Marek</v>
      </c>
      <c r="F29" s="90">
        <f t="shared" si="0"/>
        <v>4</v>
      </c>
      <c r="G29" s="16" t="s">
        <v>42</v>
      </c>
      <c r="J29" t="str">
        <f xml:space="preserve">  MID( INDEX('sk A,B - Muži'!$C$1:'sk A,B - Muži'!$C$17,  TRUNC((ROW()-(TRUNC((ROW()-4)/7)*7+4))/3)*15+2,1), LEN("skupina ")+1,1)</f>
        <v>B</v>
      </c>
    </row>
    <row r="30" spans="1:10" ht="13">
      <c r="A30" s="37">
        <f>'sk A,B - Muži'!AP29</f>
        <v>9</v>
      </c>
      <c r="B30" s="37">
        <f>'sk A,B - Muži'!AQ29</f>
        <v>7</v>
      </c>
      <c r="C30" t="str">
        <f>IF(COUNTIF(seznam!$A$2:$A$22,A30)=1,VLOOKUP(A30,seznam!$A$2:$C$22,2,FALSE),"------")</f>
        <v>Ides Samuel Hugo</v>
      </c>
      <c r="E30" t="str">
        <f>IF(COUNTIF(seznam!$A$2:$A$22,B30)=1,VLOOKUP(B30,seznam!$A$2:$C$22,2,FALSE),"------")</f>
        <v>Pantlík Daniel</v>
      </c>
      <c r="F30" s="90">
        <f t="shared" si="0"/>
        <v>4</v>
      </c>
      <c r="G30" s="16" t="s">
        <v>42</v>
      </c>
      <c r="J30" t="str">
        <f xml:space="preserve">  MID( INDEX('sk A,B - Muži'!$C$1:'sk A,B - Muži'!$C$17,  TRUNC((ROW()-(TRUNC((ROW()-4)/7)*7+4))/3)*15+2,1), LEN("skupina ")+1,1)</f>
        <v>B</v>
      </c>
    </row>
    <row r="31" spans="1:10">
      <c r="F31" s="90"/>
    </row>
    <row r="32" spans="1:10" ht="13">
      <c r="A32" s="37">
        <f>'sk A,B - Muži'!AP31</f>
        <v>8</v>
      </c>
      <c r="B32" s="37">
        <f>'sk A,B - Muži'!AQ31</f>
        <v>12</v>
      </c>
      <c r="C32" t="str">
        <f>IF(COUNTIF(seznam!$A$2:$A$22,A32)=1,VLOOKUP(A32,seznam!$A$2:$C$22,2,FALSE),"------")</f>
        <v>Látal Jan</v>
      </c>
      <c r="E32" t="str">
        <f>IF(COUNTIF(seznam!$A$2:$A$22,B32)=1,VLOOKUP(B32,seznam!$A$2:$C$22,2,FALSE),"------")</f>
        <v>Luhan Adam</v>
      </c>
      <c r="F32" s="90">
        <f t="shared" si="0"/>
        <v>5</v>
      </c>
      <c r="G32" s="16" t="s">
        <v>42</v>
      </c>
      <c r="J32" t="str">
        <f xml:space="preserve">  MID( INDEX('sk A,B - Muži'!$C$1:'sk A,B - Muži'!$C$17,  TRUNC((ROW()-(TRUNC((ROW()-4)/7)*7+4))/3)*15+2,1), LEN("skupina ")+1,1)</f>
        <v>A</v>
      </c>
    </row>
    <row r="33" spans="1:10" ht="13">
      <c r="A33" s="37">
        <f>'sk A,B - Muži'!AP32</f>
        <v>6</v>
      </c>
      <c r="B33" s="37">
        <f>'sk A,B - Muži'!AQ32</f>
        <v>10</v>
      </c>
      <c r="C33" t="str">
        <f>IF(COUNTIF(seznam!$A$2:$A$22,A33)=1,VLOOKUP(A33,seznam!$A$2:$C$22,2,FALSE),"------")</f>
        <v>Tomeček Richard</v>
      </c>
      <c r="E33" t="str">
        <f>IF(COUNTIF(seznam!$A$2:$A$22,B33)=1,VLOOKUP(B33,seznam!$A$2:$C$22,2,FALSE),"------")</f>
        <v>Spěvák Šimon</v>
      </c>
      <c r="F33" s="90">
        <f t="shared" si="0"/>
        <v>5</v>
      </c>
      <c r="G33" s="16" t="s">
        <v>42</v>
      </c>
      <c r="J33" t="str">
        <f xml:space="preserve">  MID( INDEX('sk A,B - Muži'!$C$1:'sk A,B - Muži'!$C$17,  TRUNC((ROW()-(TRUNC((ROW()-4)/7)*7+4))/3)*15+2,1), LEN("skupina ")+1,1)</f>
        <v>A</v>
      </c>
    </row>
    <row r="34" spans="1:10" ht="13">
      <c r="A34" s="37">
        <f>'sk A,B - Muži'!AP33</f>
        <v>3</v>
      </c>
      <c r="B34" s="37">
        <f>'sk A,B - Muži'!AQ33</f>
        <v>1</v>
      </c>
      <c r="C34" t="str">
        <f>IF(COUNTIF(seznam!$A$2:$A$22,A34)=1,VLOOKUP(A34,seznam!$A$2:$C$22,2,FALSE),"------")</f>
        <v>Šimon Samuel</v>
      </c>
      <c r="E34" t="str">
        <f>IF(COUNTIF(seznam!$A$2:$A$22,B34)=1,VLOOKUP(B34,seznam!$A$2:$C$22,2,FALSE),"------")</f>
        <v>Voráč Pavel</v>
      </c>
      <c r="F34" s="90">
        <f t="shared" si="0"/>
        <v>5</v>
      </c>
      <c r="G34" s="16" t="s">
        <v>42</v>
      </c>
      <c r="J34" t="str">
        <f xml:space="preserve">  MID( INDEX('sk A,B - Muži'!$C$1:'sk A,B - Muži'!$C$17,  TRUNC((ROW()-(TRUNC((ROW()-4)/7)*7+4))/3)*15+2,1), LEN("skupina ")+1,1)</f>
        <v>A</v>
      </c>
    </row>
    <row r="35" spans="1:10" ht="13">
      <c r="A35" s="37">
        <f>'sk A,B - Muži'!AP34</f>
        <v>7</v>
      </c>
      <c r="B35" s="37">
        <f>'sk A,B - Muži'!AQ34</f>
        <v>11</v>
      </c>
      <c r="C35" t="str">
        <f>IF(COUNTIF(seznam!$A$2:$A$22,A35)=1,VLOOKUP(A35,seznam!$A$2:$C$22,2,FALSE),"------")</f>
        <v>Pantlík Daniel</v>
      </c>
      <c r="E35" t="str">
        <f>IF(COUNTIF(seznam!$A$2:$A$22,B35)=1,VLOOKUP(B35,seznam!$A$2:$C$22,2,FALSE),"------")</f>
        <v>Plotzer Robin</v>
      </c>
      <c r="F35" s="90">
        <f t="shared" si="0"/>
        <v>5</v>
      </c>
      <c r="G35" s="16" t="s">
        <v>42</v>
      </c>
      <c r="J35" t="str">
        <f xml:space="preserve">  MID( INDEX('sk A,B - Muži'!$C$1:'sk A,B - Muži'!$C$17,  TRUNC((ROW()-(TRUNC((ROW()-4)/7)*7+4))/3)*15+2,1), LEN("skupina ")+1,1)</f>
        <v>B</v>
      </c>
    </row>
    <row r="36" spans="1:10" ht="13">
      <c r="A36" s="3">
        <f>'sk A,B - Muži'!AP35</f>
        <v>5</v>
      </c>
      <c r="B36" s="3">
        <f>'sk A,B - Muži'!AQ35</f>
        <v>9</v>
      </c>
      <c r="C36" t="str">
        <f>IF(COUNTIF(seznam!$A$2:$A$22,A36)=1,VLOOKUP(A36,seznam!$A$2:$C$22,2,FALSE),"------")</f>
        <v>Omelka Marek</v>
      </c>
      <c r="E36" t="str">
        <f>IF(COUNTIF(seznam!$A$2:$A$22,B36)=1,VLOOKUP(B36,seznam!$A$2:$C$22,2,FALSE),"------")</f>
        <v>Ides Samuel Hugo</v>
      </c>
      <c r="F36" s="90">
        <f t="shared" si="0"/>
        <v>5</v>
      </c>
      <c r="G36" s="16" t="s">
        <v>42</v>
      </c>
      <c r="J36" t="str">
        <f xml:space="preserve">  MID( INDEX('sk A,B - Muži'!$C$1:'sk A,B - Muži'!$C$17,  TRUNC((ROW()-(TRUNC((ROW()-4)/7)*7+4))/3)*15+2,1), LEN("skupina ")+1,1)</f>
        <v>B</v>
      </c>
    </row>
    <row r="37" spans="1:10" ht="13">
      <c r="A37" s="37">
        <f>'sk A,B - Muži'!AP36</f>
        <v>4</v>
      </c>
      <c r="B37" s="37">
        <f>'sk A,B - Muži'!AQ36</f>
        <v>2</v>
      </c>
      <c r="C37" t="str">
        <f>IF(COUNTIF(seznam!$A$2:$A$22,A37)=1,VLOOKUP(A37,seznam!$A$2:$C$22,2,FALSE),"------")</f>
        <v>Kmenta Josef</v>
      </c>
      <c r="E37" t="str">
        <f>IF(COUNTIF(seznam!$A$2:$A$22,B37)=1,VLOOKUP(B37,seznam!$A$2:$C$22,2,FALSE),"------")</f>
        <v>Peťura Patrik</v>
      </c>
      <c r="F37" s="90">
        <f t="shared" si="0"/>
        <v>5</v>
      </c>
      <c r="G37" s="16" t="s">
        <v>42</v>
      </c>
      <c r="J37" t="str">
        <f xml:space="preserve">  MID( INDEX('sk A,B - Muži'!$C$1:'sk A,B - Muži'!$C$17,  TRUNC((ROW()-(TRUNC((ROW()-4)/7)*7+4))/3)*15+2,1), LEN("skupina ")+1,1)</f>
        <v>B</v>
      </c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verticalDpi="300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10</vt:i4>
      </vt:variant>
    </vt:vector>
  </HeadingPairs>
  <TitlesOfParts>
    <vt:vector size="23" baseType="lpstr">
      <vt:lpstr>seznam</vt:lpstr>
      <vt:lpstr>Vysledky</vt:lpstr>
      <vt:lpstr>sk A,B - Muži</vt:lpstr>
      <vt:lpstr>sk C,D - Ženy</vt:lpstr>
      <vt:lpstr>sk 1-6, 7-12 - Muži</vt:lpstr>
      <vt:lpstr>sk 1-6, 7-12 - Ženy</vt:lpstr>
      <vt:lpstr>zápis tisk I Muži</vt:lpstr>
      <vt:lpstr>zápis tisk I Ženy</vt:lpstr>
      <vt:lpstr>zápis tisk II Muži</vt:lpstr>
      <vt:lpstr>zápis tisk II Ženy</vt:lpstr>
      <vt:lpstr>Skupiny po 4</vt:lpstr>
      <vt:lpstr>sk C,D,E - žáci</vt:lpstr>
      <vt:lpstr>zápis</vt:lpstr>
      <vt:lpstr>'sk 1-6, 7-12 - Muži'!Oblast_tisku</vt:lpstr>
      <vt:lpstr>'sk 1-6, 7-12 - Ženy'!Oblast_tisku</vt:lpstr>
      <vt:lpstr>'sk A,B - Muži'!Oblast_tisku</vt:lpstr>
      <vt:lpstr>'sk C,D - Ženy'!Oblast_tisku</vt:lpstr>
      <vt:lpstr>'sk C,D,E - žáci'!Oblast_tisku</vt:lpstr>
      <vt:lpstr>Vysledky!Oblast_tisku</vt:lpstr>
      <vt:lpstr>'zápis tisk I Muži'!Oblast_tisku</vt:lpstr>
      <vt:lpstr>'zápis tisk I Ženy'!Oblast_tisku</vt:lpstr>
      <vt:lpstr>'zápis tisk II Muži'!Oblast_tisku</vt:lpstr>
      <vt:lpstr>'zápis tisk II Ženy'!Oblast_tisku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Uživatel systému Windows</cp:lastModifiedBy>
  <cp:lastPrinted>2025-04-26T12:57:21Z</cp:lastPrinted>
  <dcterms:created xsi:type="dcterms:W3CDTF">2003-12-23T23:27:09Z</dcterms:created>
  <dcterms:modified xsi:type="dcterms:W3CDTF">2025-04-26T13:11:39Z</dcterms:modified>
</cp:coreProperties>
</file>